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240" yWindow="1035" windowWidth="19440" windowHeight="9075" activeTab="1"/>
  </bookViews>
  <sheets>
    <sheet name="MEMÓRIA DESONERADA" sheetId="1" r:id="rId1"/>
    <sheet name="ORÇAMENTO" sheetId="2" r:id="rId2"/>
    <sheet name="Cronograma " sheetId="3" r:id="rId3"/>
  </sheets>
  <externalReferences>
    <externalReference r:id="rId6"/>
  </externalReferences>
  <definedNames>
    <definedName name="EXTRACT" localSheetId="2">'Cronograma '!#REF!</definedName>
    <definedName name="_xlnm.Print_Area" localSheetId="2">'Cronograma '!$A$1:$K$28</definedName>
    <definedName name="_xlnm.Print_Area" localSheetId="0">'MEMÓRIA DESONERADA'!$A$1:$I$968</definedName>
    <definedName name="_xlnm.Print_Area" localSheetId="1">'ORÇAMENTO'!$A$1:$I$153</definedName>
    <definedName name="BDI" localSheetId="2">#REF!</definedName>
    <definedName name="BDI" localSheetId="0">#REF!</definedName>
    <definedName name="BDI" localSheetId="1">#REF!</definedName>
    <definedName name="BDI">#REF!</definedName>
    <definedName name="CRITERIA" localSheetId="2">'Cronograma '!#REF!</definedName>
    <definedName name="_xlnm.Print_Titles" localSheetId="2">'Cronograma '!$10:$12</definedName>
    <definedName name="_xlnm.Print_Titles" localSheetId="0">'MEMÓRIA DESONERADA'!$9:$11</definedName>
    <definedName name="_xlnm.Print_Titles" localSheetId="1">'ORÇAMENTO'!$9:$11</definedName>
  </definedNames>
  <calcPr fullCalcOnLoad="1"/>
</workbook>
</file>

<file path=xl/sharedStrings.xml><?xml version="1.0" encoding="utf-8"?>
<sst xmlns="http://schemas.openxmlformats.org/spreadsheetml/2006/main" count="3316" uniqueCount="1038">
  <si>
    <t>UN</t>
  </si>
  <si>
    <t>ITEM</t>
  </si>
  <si>
    <t>DISCRIMINAÇÃO</t>
  </si>
  <si>
    <t>QUANT.</t>
  </si>
  <si>
    <t>UNIT</t>
  </si>
  <si>
    <t>TOTAL</t>
  </si>
  <si>
    <t>PREÇOS (R$)</t>
  </si>
  <si>
    <t>H</t>
  </si>
  <si>
    <t>DESCRIÇÃO</t>
  </si>
  <si>
    <t>PERÍODO</t>
  </si>
  <si>
    <t>30 DIAS</t>
  </si>
  <si>
    <t>60 DIAS</t>
  </si>
  <si>
    <t>TOTAL DOS</t>
  </si>
  <si>
    <t>FÍSICO</t>
  </si>
  <si>
    <t>FINANCEIRO</t>
  </si>
  <si>
    <t>SERVIÇOS</t>
  </si>
  <si>
    <t>1.0</t>
  </si>
  <si>
    <t>TOTAL DA OBRA POR MEDIÇÃO</t>
  </si>
  <si>
    <t>TOTAL ACUMULADO DA OBRA</t>
  </si>
  <si>
    <t>Desembolso parcial por medição %</t>
  </si>
  <si>
    <t>Desembolso máximo acumulado %</t>
  </si>
  <si>
    <t>1.1</t>
  </si>
  <si>
    <t>1.2</t>
  </si>
  <si>
    <t>1.4</t>
  </si>
  <si>
    <t>1.5</t>
  </si>
  <si>
    <t>1.6</t>
  </si>
  <si>
    <t>2.0</t>
  </si>
  <si>
    <t>2.1</t>
  </si>
  <si>
    <t>1.7</t>
  </si>
  <si>
    <t>1.8</t>
  </si>
  <si>
    <t>1.9</t>
  </si>
  <si>
    <t>1.10</t>
  </si>
  <si>
    <t>TOTAL GERAL=</t>
  </si>
  <si>
    <t>TOTAL 2.0=</t>
  </si>
  <si>
    <t>TOTAL 1.0=</t>
  </si>
  <si>
    <t xml:space="preserve">Estado do Rio de Janeiro                                                        </t>
  </si>
  <si>
    <t>Prefeitura Municipal de Barra Mansa</t>
  </si>
  <si>
    <t xml:space="preserve">Secretaria Municipal de Planejamento Urbano </t>
  </si>
  <si>
    <t>Orçamentista: Eng. Alfredo Antonio Nicolau M. Cunha</t>
  </si>
  <si>
    <t>M3</t>
  </si>
  <si>
    <t>20132</t>
  </si>
  <si>
    <t>MAO-DE-OBRA DE SERVENTE DA CONSTRUCAO CIVIL, INCLUSIVE ENCARGOS SOCIAIS DESONERADOS</t>
  </si>
  <si>
    <t>3.1</t>
  </si>
  <si>
    <t>20115</t>
  </si>
  <si>
    <t>M2</t>
  </si>
  <si>
    <t>T</t>
  </si>
  <si>
    <t>KG</t>
  </si>
  <si>
    <t>30423</t>
  </si>
  <si>
    <t>30425</t>
  </si>
  <si>
    <t>T X KM</t>
  </si>
  <si>
    <t>SERVIÇOS PRELIMINARES</t>
  </si>
  <si>
    <t>3.0</t>
  </si>
  <si>
    <t>M</t>
  </si>
  <si>
    <t>00368</t>
  </si>
  <si>
    <t>00453</t>
  </si>
  <si>
    <t>4.0</t>
  </si>
  <si>
    <t>3.2</t>
  </si>
  <si>
    <t>4.1</t>
  </si>
  <si>
    <t>4.2</t>
  </si>
  <si>
    <t>4.3</t>
  </si>
  <si>
    <t>TOTAL 4.0=</t>
  </si>
  <si>
    <t>04.005.0123-B</t>
  </si>
  <si>
    <t>04.014.0118-A</t>
  </si>
  <si>
    <t>04.010.0045-A</t>
  </si>
  <si>
    <t>Descarga de materiais e residuos originarios da construcao civil(rcc),classe c (nao reutilizaveis),em locais de disposic ao final autorizados e/ou licenciados a operar pelos orgaosde controle ambiental</t>
  </si>
  <si>
    <t>Tarifa de vazamento de residuos originarios da construcao civil, classe c (resolucao 307 da conama)</t>
  </si>
  <si>
    <t>TRANSPORTE E BOTA-FORA</t>
  </si>
  <si>
    <t>Carga e descarga mecanica de agregados,terra,escombros,material a granel,utilizando caminhao basculante a oleo diesel,com capacidade util de 8t,considerando o tempo para carga,descarga e manobra,exclusive despesas com a pa-carregadeira empregada na carga,com a capacidade de 1,50m3</t>
  </si>
  <si>
    <t>Descarga de materiais e residuos originarios da construcao civil(rcc),classe c (nao reutilizaveis),em locais de disposicão ao final autorizados e/ou licenciados a operar pelos orgaosde controle ambiental</t>
  </si>
  <si>
    <t>ORÇAMENTO: Engº Alfredo Antonio N M Cunha</t>
  </si>
  <si>
    <t>CODIGO EMOP/ SINAPI</t>
  </si>
  <si>
    <t xml:space="preserve">CRONOGRAMA  FÍSICO-FINANCEIRO </t>
  </si>
  <si>
    <t xml:space="preserve">MEMÓRIA DE CÁLCULO </t>
  </si>
  <si>
    <t>20045</t>
  </si>
  <si>
    <t>20060</t>
  </si>
  <si>
    <t>31011</t>
  </si>
  <si>
    <t>20039</t>
  </si>
  <si>
    <t>30163</t>
  </si>
  <si>
    <t>INSTALAÇÕES ELÉTRICAS</t>
  </si>
  <si>
    <t>PINTURA</t>
  </si>
  <si>
    <t>5.0</t>
  </si>
  <si>
    <t>5.1</t>
  </si>
  <si>
    <t>5.2</t>
  </si>
  <si>
    <t>TOTAL 5.0=</t>
  </si>
  <si>
    <t>20046</t>
  </si>
  <si>
    <t>00004</t>
  </si>
  <si>
    <t>4.4</t>
  </si>
  <si>
    <t>4.5</t>
  </si>
  <si>
    <t>4.6</t>
  </si>
  <si>
    <t>6.0</t>
  </si>
  <si>
    <t>30411</t>
  </si>
  <si>
    <t>TOTAL 7.0=</t>
  </si>
  <si>
    <t>90 DIAS</t>
  </si>
  <si>
    <t>120 DIAS</t>
  </si>
  <si>
    <t>02.020.0001-A</t>
  </si>
  <si>
    <t>00160</t>
  </si>
  <si>
    <t>00294</t>
  </si>
  <si>
    <t>GL</t>
  </si>
  <si>
    <t>20118</t>
  </si>
  <si>
    <t>5.3</t>
  </si>
  <si>
    <t>MAO-DE-OBRA DE PEDREIRO, INCLUSIVE ENCARGOS SOCIAIS DESONERADOS</t>
  </si>
  <si>
    <t>ARAME RECOZIDO N§ 18</t>
  </si>
  <si>
    <t>PREGO COM OU SEM CABECA, EM CAIXAS DE 50KG, OU QUANTIDADES EQUIVALENTES, N§12X12A 18X30</t>
  </si>
  <si>
    <t>CTR</t>
  </si>
  <si>
    <t>TOTAL C/ BDI</t>
  </si>
  <si>
    <t>UNIT C/ BDI</t>
  </si>
  <si>
    <t>m²</t>
  </si>
  <si>
    <t>02338</t>
  </si>
  <si>
    <t>00349</t>
  </si>
  <si>
    <t>PINUS, EM PECAS DE 2,50X30,00CM (1"X12")</t>
  </si>
  <si>
    <t>00150</t>
  </si>
  <si>
    <t>20087</t>
  </si>
  <si>
    <t>30153</t>
  </si>
  <si>
    <t>30129</t>
  </si>
  <si>
    <t>30164</t>
  </si>
  <si>
    <t>30246</t>
  </si>
  <si>
    <t>TOTAL 3.0=</t>
  </si>
  <si>
    <t>00149</t>
  </si>
  <si>
    <t>4.7</t>
  </si>
  <si>
    <t>TOTAL 6.0=</t>
  </si>
  <si>
    <t>7.0</t>
  </si>
  <si>
    <t>7.1</t>
  </si>
  <si>
    <t>7.2</t>
  </si>
  <si>
    <t>7.4</t>
  </si>
  <si>
    <t>7.3</t>
  </si>
  <si>
    <t>7.5</t>
  </si>
  <si>
    <t>00001</t>
  </si>
  <si>
    <t>02341</t>
  </si>
  <si>
    <t>00115</t>
  </si>
  <si>
    <t>30344</t>
  </si>
  <si>
    <t>x</t>
  </si>
  <si>
    <t>30247</t>
  </si>
  <si>
    <t>a</t>
  </si>
  <si>
    <t>b</t>
  </si>
  <si>
    <t>CHP</t>
  </si>
  <si>
    <t>m³</t>
  </si>
  <si>
    <t>5.11</t>
  </si>
  <si>
    <t>5.12</t>
  </si>
  <si>
    <t>05845</t>
  </si>
  <si>
    <t>05844</t>
  </si>
  <si>
    <t>00021</t>
  </si>
  <si>
    <t>00019</t>
  </si>
  <si>
    <t>00018</t>
  </si>
  <si>
    <t>00017</t>
  </si>
  <si>
    <t>20015</t>
  </si>
  <si>
    <t>30731</t>
  </si>
  <si>
    <t>30730</t>
  </si>
  <si>
    <t>30350</t>
  </si>
  <si>
    <t>02617</t>
  </si>
  <si>
    <t>TUBO DE PVC RIGIDO, PONTA/BOLSA COM VIROLA, EM BARRAS DE 6,00M, DE 100MM</t>
  </si>
  <si>
    <t>02339</t>
  </si>
  <si>
    <t>ADESIVO PLASTICO PARA PVC RIGIDO, EM BISNAGA DE 75G</t>
  </si>
  <si>
    <t>02984</t>
  </si>
  <si>
    <t>30245</t>
  </si>
  <si>
    <t>20131</t>
  </si>
  <si>
    <t>m</t>
  </si>
  <si>
    <t>t</t>
  </si>
  <si>
    <t>04.014.0118-5</t>
  </si>
  <si>
    <t>CHI</t>
  </si>
  <si>
    <t>12.003.0115-A</t>
  </si>
  <si>
    <t>30179</t>
  </si>
  <si>
    <t>11.013.0003-B</t>
  </si>
  <si>
    <t>07798</t>
  </si>
  <si>
    <t>07797</t>
  </si>
  <si>
    <t>13.030.0255-A</t>
  </si>
  <si>
    <t>07796</t>
  </si>
  <si>
    <t>11183</t>
  </si>
  <si>
    <t>20091</t>
  </si>
  <si>
    <t>13.348.0075-A</t>
  </si>
  <si>
    <t>03863</t>
  </si>
  <si>
    <t>30180</t>
  </si>
  <si>
    <t>13.348.0050-A</t>
  </si>
  <si>
    <t>11200</t>
  </si>
  <si>
    <t>30312</t>
  </si>
  <si>
    <t>7.6</t>
  </si>
  <si>
    <t>7.7</t>
  </si>
  <si>
    <t>8.0</t>
  </si>
  <si>
    <t>8.1</t>
  </si>
  <si>
    <t>8.2</t>
  </si>
  <si>
    <t>8.3</t>
  </si>
  <si>
    <t>8.4</t>
  </si>
  <si>
    <t>8.5</t>
  </si>
  <si>
    <t>8.6</t>
  </si>
  <si>
    <t>TOTAL 8.0=</t>
  </si>
  <si>
    <t>9.0</t>
  </si>
  <si>
    <t>9.1</t>
  </si>
  <si>
    <t>9.2</t>
  </si>
  <si>
    <t>9.3</t>
  </si>
  <si>
    <t>9.4</t>
  </si>
  <si>
    <t>9.5</t>
  </si>
  <si>
    <t>TOTAL 9.0=</t>
  </si>
  <si>
    <t>10.0</t>
  </si>
  <si>
    <t>TOTAL 10.0=</t>
  </si>
  <si>
    <t>10.1</t>
  </si>
  <si>
    <t>10.2</t>
  </si>
  <si>
    <t>10.3</t>
  </si>
  <si>
    <t>10.4</t>
  </si>
  <si>
    <t>10.5</t>
  </si>
  <si>
    <t>10.6</t>
  </si>
  <si>
    <t>10.7</t>
  </si>
  <si>
    <t>10.8</t>
  </si>
  <si>
    <t>10.9</t>
  </si>
  <si>
    <t>14.006.0023-A</t>
  </si>
  <si>
    <t>11439</t>
  </si>
  <si>
    <t>14.006.0407-A</t>
  </si>
  <si>
    <t>05479</t>
  </si>
  <si>
    <t>30998</t>
  </si>
  <si>
    <t>14.006.0409-A</t>
  </si>
  <si>
    <t>02259</t>
  </si>
  <si>
    <t>c</t>
  </si>
  <si>
    <t>05533</t>
  </si>
  <si>
    <t>05529</t>
  </si>
  <si>
    <t>05524</t>
  </si>
  <si>
    <t>05523</t>
  </si>
  <si>
    <t>05521</t>
  </si>
  <si>
    <t>14.004.0120-A</t>
  </si>
  <si>
    <t>05518</t>
  </si>
  <si>
    <t>00022</t>
  </si>
  <si>
    <t>L</t>
  </si>
  <si>
    <t>18.016.0106-A</t>
  </si>
  <si>
    <t>13147</t>
  </si>
  <si>
    <t>00324</t>
  </si>
  <si>
    <t>15.036.0052-A</t>
  </si>
  <si>
    <t>TUBO DE PVC RIGIDO DE 100MM,SOLDAVEL,INCLUSIVE CONEXOES E EMENDAS,EXCLUSIVE ABERTURA E FECHAMENTO DE RASGO.FORNECIMENTO E ASSENTAMENTO (OBS.:3%-DESGASTE DE FERRAMENTAS E EPI 10%-CONEXOES E EMENDAS).</t>
  </si>
  <si>
    <t>06.014.0064-A</t>
  </si>
  <si>
    <t>00029</t>
  </si>
  <si>
    <t>ACO CA-25, ESTIRADO, PRECO DE REVENDEDOR, NO DIAMETRO DE 06,3MM</t>
  </si>
  <si>
    <t>30353</t>
  </si>
  <si>
    <t>12.005.0130-B</t>
  </si>
  <si>
    <t>00103</t>
  </si>
  <si>
    <t>BLOCO DE CONCRETO PRENSADO, PARA ALVENARIA, DE (10X20X40)CM</t>
  </si>
  <si>
    <t>un</t>
  </si>
  <si>
    <t>mercado</t>
  </si>
  <si>
    <t>13.002.0011-B</t>
  </si>
  <si>
    <t>05534</t>
  </si>
  <si>
    <t>05532</t>
  </si>
  <si>
    <t>05526</t>
  </si>
  <si>
    <t>05525</t>
  </si>
  <si>
    <t>15.015.0020-A</t>
  </si>
  <si>
    <t>05751</t>
  </si>
  <si>
    <t>05750</t>
  </si>
  <si>
    <t>02961</t>
  </si>
  <si>
    <t>02643</t>
  </si>
  <si>
    <t>00309</t>
  </si>
  <si>
    <t>00285</t>
  </si>
  <si>
    <t>15.015.0035-A</t>
  </si>
  <si>
    <t>15.015.0065-A</t>
  </si>
  <si>
    <t>15.015.0250-A</t>
  </si>
  <si>
    <t>15.015.0270-A</t>
  </si>
  <si>
    <t>15.015.0290-A</t>
  </si>
  <si>
    <t>15.015.0310-A</t>
  </si>
  <si>
    <t>02370</t>
  </si>
  <si>
    <t>04266</t>
  </si>
  <si>
    <t>02642</t>
  </si>
  <si>
    <t>02368</t>
  </si>
  <si>
    <t>05337</t>
  </si>
  <si>
    <t>Instalacao de ponto de luz,embutido na laje,equivalente a 2 varas de eletroduto de pvc rigido de 3/4",12,00m de fio 2,5m m2,caixas,conexoes,luvas,curva e interruptor de embutir complaca fosforescente,inclusive abertura e fechamento de rasgo em alvenaria (obs.:3%-desgaste de ferramentas e epi).</t>
  </si>
  <si>
    <t>Instalacao de um conjunto de 2 pontos de luz,embutido na laje,equivalente a 5 varas de eletroduto de pvc rigido de 3/4", 33,00m de fio 2,5mm2,caixas,conexoes,luvas,curva e interruptor de embutir com placa fosforescente,inclusive abertura e f echamento de rasgo em alvenaria (obs.:3%-desgaste de ferramentas e epi).</t>
  </si>
  <si>
    <t>Instalacao de um conjunto de 4 pontos de luz,embutido na laje,equivalente a 7 varas de eletroduto de pvc rigido de 3/4", 50,00m de fio 2,5mm2,caixas,conexoes,luvas,curva e interruptor de embutir com placa fosforescente,inclusive abertura e f echamento de rasgo em alvenaria (obs.:3%-desgaste de ferramentas e epi).</t>
  </si>
  <si>
    <t>Instalacao de ponto de tomada,embutido na alvenaria,equivalente a 2 varas de eletroduto de pvc rigido de 3/4",18,00m de fio 2,5mm2,caixas,conexoes e tomada de embutir,2p+t,10a,padrao brasileiro,com placa fosforescente,inclusive abertura e f echamento de rasgo em alvenaria (obs.:3%-desgaste de ferramentas e epi).</t>
  </si>
  <si>
    <t>Instalacao de um conjunto de 2 tomadas,embutido na alvenaria,equivalente a 3 varas de eletroduto de pvc rigido de 3/4",2 7,00m de fio 2,5mm2,caixas,conexoes e tomadas de embutir 2p+t,10a,com placa fosforescente,inclusive abertura e fechament o de rasgo em alvenaria (obs.:3%-desgaste de ferramentas e epi).</t>
  </si>
  <si>
    <t>Instalacao de um conjunto de 3 tomadas,embutido na alvenaria,equivalente a 4 varas de eletroduto de pvc rigido de 3/4",3 7,00m de fio 2,5mm2,caixas,conexoes e tomadas de embutir 2p+t,10a,com placa fosforescente,inclusive abertura e fechament o de rasgo em alvenaria (obs.:3%-desgaste de ferramentas e epi).</t>
  </si>
  <si>
    <t>02615</t>
  </si>
  <si>
    <t>TUBO DE PVC RIGIDO, PONTA/BOLSA COM VIROLA, EM BARRAS DE 6,00M, DE 050MM</t>
  </si>
  <si>
    <t>MAO-DE-OBRA DE BOMBEIRO HIDRAULICO DA CONSTRUCAO CIVIL, INCLUSIVE ENCARGOS SOCIAIS DESONERADOS</t>
  </si>
  <si>
    <t>ENCANADOR OU BOMBEIRO HIDRÁULICO COM ENCARGOS COMPLEMENTARES</t>
  </si>
  <si>
    <t>05103</t>
  </si>
  <si>
    <t>MAO-DE-OBRA DE CARPINTEIRO DE FORMA DE CONCRETO, INCLUSIVE ENCARGOS SOCIAIS DESONERADOS</t>
  </si>
  <si>
    <t>13.001.0030-B EMBOCO ARG. CIM. E AREIA TRACO 1:4</t>
  </si>
  <si>
    <t>11.001.0001-B CONCRETO FCK 10MPA</t>
  </si>
  <si>
    <t>11.001.0006-B CONCRETO FCK 20MPA</t>
  </si>
  <si>
    <t>07.002.0030-B ARGAMASSA CIM.,AREIA TRACO 1:4,PREPAROMECANICO</t>
  </si>
  <si>
    <t>06.014.0054-6</t>
  </si>
  <si>
    <t>06.016.0105-A</t>
  </si>
  <si>
    <t>00508</t>
  </si>
  <si>
    <t>TAMPAO DE FERRO FUNDIDO, CIRCULAR, MISTO, NO DIAMETRO DE 60CM, TIPO LEVE, PESO TOTAL DE 36KG</t>
  </si>
  <si>
    <t>11.001.0005-B CONCRETO FCK 15MPA</t>
  </si>
  <si>
    <t>CAIXA DE PASSAGEM EM BLOCOS DE CONCRETO DE 10X20X40CM,COM ARGAMASSA DE CIMENTO E AREIA,NO TRACO 1:4 E CONCRETO 20MPA,PARA PREENCHIMENTO DOS FUROS DOS MESMOS,EM PAREDES DE MEIA VEZ(0,10M),DE 0,60X0,60X0,80M,EXCLUSIVE TAM PA,UTILIZANDO ARGAMASSA DE CIMENTO E AREIA,NO TRACO 1:4 EM VOLUME,COM FUNDO EM CONCRETO SIMPLES PROVIDO DE CALHA INTERNA ,SENDO AS PAREDES REVESTIDAS INETERNAMENTE COM A MESMA ARGAMASSA, INCLUSIVE TAMPA DE CONCRETO ARMADO,15MPA,COM ESPESSURA DE 10CM</t>
  </si>
  <si>
    <t>MAO-DE-OBRA DE SERRALHEIRO DA CONSTRUCAOCIVIL, INCLUSIVE ENCARGOS SOCIAIS DESONERADOS</t>
  </si>
  <si>
    <t>05031</t>
  </si>
  <si>
    <t>TUBO DE PVC RIGIDO SOLDAVEL, PONTA/BOLSAC/VIROLA, EM BARRAS DE 6,00M, DE 025MM</t>
  </si>
  <si>
    <t>19.007.0013-E VIBRADOR IMERSAO ELETR. 2CV (CI)</t>
  </si>
  <si>
    <t>19.007.0013-C VIBRADOR IMERSAO ELETR. 2CV (CP)</t>
  </si>
  <si>
    <t>VERGAS DE CONCRETO ARMADO PARA ALVENARIA,COM APROVEITAMENTO DA MADEIRA POR 10 VEZES (OBS.:3%-DESGASTE DE FERRAMENTAS E EPI).</t>
  </si>
  <si>
    <t>MAO-DE-OBRA DE ARMADOR DE CONCRETO ARMADO, INCLUSIVE ENCARGOS SOCIAIS DESONERADOS</t>
  </si>
  <si>
    <t>59.003.0010-B PINUS,PECA 1" X 12" E 1" X 9"</t>
  </si>
  <si>
    <t>SERVENTE COM ENCARGOS COMPLEMENTARES</t>
  </si>
  <si>
    <t>13.001.0010-B CHAPISCO SUPERF. CONCR./ALVEN.,COM ARGAMASSA DE CIMENTO E AREIA NO TRACO 1:3</t>
  </si>
  <si>
    <t>preço mediano=</t>
  </si>
  <si>
    <t>BARRA DE APOIO EM ACO INOXIDAVEL AISI 304,TUBO DE 1.1/4",INCLUSIVE FIXACAO COM PARAFUSOS INOXIDAVEIS E BUCHAS PLASTICAS, COM 80CM,PARA PESSOAS COM NECESSIDADES ESPECIFICAS.FORNECIMENTO E COLOCACAO (OBS.:3%-DESGASTE DE FERRAMENTAS E EPI).</t>
  </si>
  <si>
    <t>RABICHO PLASTICO COM SAIDA DE 1/2" E COMCOMPRIMENTO DE 30CM</t>
  </si>
  <si>
    <t>02355</t>
  </si>
  <si>
    <t>VALVULA DE ESCOAMENTO, P/LAVATORIO, 1603, EM METAL CROMADO, DE 1"</t>
  </si>
  <si>
    <t>FITA VEDA ROSCA EM ROLOS DE 18 MM X 10 M (L X C)</t>
  </si>
  <si>
    <t>18.016.0040-A</t>
  </si>
  <si>
    <t>02593</t>
  </si>
  <si>
    <t>VALVULA DE ESCOAMENTO, P/PIA DE COZINHA,1623, EM METAL CROMADO, DE 1.1/2"X3.3/4"</t>
  </si>
  <si>
    <t>02356</t>
  </si>
  <si>
    <t>SIFAO EM METAL CROMADO, DE 1.1/2"X1.1/2"</t>
  </si>
  <si>
    <t>18.009.0066-A</t>
  </si>
  <si>
    <t>TORNEIRA PARA PIA,COM AREJADOR,TUBO MOVEL,TIPO BANCA,1167 DE 1/2"X17CM APROXIMADAMENTE,EM METAL CROMADO.FORNECIMENTO</t>
  </si>
  <si>
    <t>07016</t>
  </si>
  <si>
    <t>TORNEIRA PARA PIA, EM METAL CROMADO, DEAPROXIMADAMENTE 1/2"X13CM</t>
  </si>
  <si>
    <t>18.006.0050-A</t>
  </si>
  <si>
    <t>07895</t>
  </si>
  <si>
    <t>PAPELEIRA, SEM PROTETOR, DE SOBREPOR, EMMETAL CROMADO</t>
  </si>
  <si>
    <t>MAO-DE-OBRA DE LADRILHEIRO, INCLUSIVE ENCARGOS SOCIAIS DESONERADOS</t>
  </si>
  <si>
    <t>ALUMINIO EM PERFIL TUBULAR EXTRUDADO, LIGA COMUM</t>
  </si>
  <si>
    <t>LIXA P/MADEIRA N§100</t>
  </si>
  <si>
    <t>ESQUADRIAS</t>
  </si>
  <si>
    <t>COBERTURA</t>
  </si>
  <si>
    <t>INSTALAÇÕES HIDRO-SANITÁRIAS</t>
  </si>
  <si>
    <r>
      <t>Secretaria Municipal de Planejamento Urbano</t>
    </r>
    <r>
      <rPr>
        <sz val="16"/>
        <color indexed="8"/>
        <rFont val="Arial"/>
        <family val="2"/>
      </rPr>
      <t xml:space="preserve"> </t>
    </r>
  </si>
  <si>
    <t>FIO C/ISOLAMENTO TERMOPLASTICO ANTICHAMADE 750V, DE 02,5MM2</t>
  </si>
  <si>
    <r>
      <t xml:space="preserve">Instalacao de um conjunto de 4 tomadas,embutido na alvenaria,equivalente a 5 varas de eletroduto de pvc rigido de 3/4",4 5,00m de fio </t>
    </r>
    <r>
      <rPr>
        <sz val="14"/>
        <color indexed="8"/>
        <rFont val="Arial"/>
        <family val="2"/>
      </rPr>
      <t>2,5mm2,caixas,conexoes e tomadas de embutir 2p+t,10a,com placa fosforescente,inclusive abertura e fechament o de rasgo em alvenaria .</t>
    </r>
  </si>
  <si>
    <t>MAO-DE-OBRA DE ELETRICISTA DA CONSTRUCAOCIVIL, INCLUSIVE ENCARGOS SOCIAIS DESONERADOS</t>
  </si>
  <si>
    <t>ELETRODUTO DE PVC PRETO,RIGIDO ROSQUEAVEL,COM ROSCA EM AMBAS EXTREMIDADES,EM BARRAS DE 3 METROS,DE 1/2"</t>
  </si>
  <si>
    <t>ALVENARIA DE TIJOLOS CERAMICOS FURADOS 10X20X30CM,COMPLEMENTADA COM 6% DE TIJOLOS DE 10X20X20CM,ASSENTES COM ARGAMASSA D E CIMENTO E SAIBRO,NO TRACO 1:8,EM PAREDES DE MEIA VEZ(0,10M) DE SUPERFICIE CORRIDA,ATE 3,00M DE ALTURA E MEDIDA PELA AR EA REAL</t>
  </si>
  <si>
    <t>CURVA 90§ DE PVC RIGIDO, ROSQUEAVEL, PARA ELETRODUTO, DE 3/4"</t>
  </si>
  <si>
    <t>LUVA DE PVC RIGIDO ROSQUEAVEL, PARA ELETRODUTO, DE 3/4"</t>
  </si>
  <si>
    <t>ELETRODUTO DE PVC PRETO, RIGIDO ROSQUEAVEL, COM ROSCA EM AMBAS EXTREMIDADES, EMBARRAS DE 3 METROS, DE 3/4"</t>
  </si>
  <si>
    <t>BUCHA E ARRUELA DE ALUMINIO PARA ELETRODUTO, DE 3/4"</t>
  </si>
  <si>
    <t>CIMENTO BRANCO</t>
  </si>
  <si>
    <t>Serviço :  Reforma USF Santa Rita de Fátima</t>
  </si>
  <si>
    <t>PROJETO: Arqtª Lélia Magda</t>
  </si>
  <si>
    <t>LEVANTAMENTO: Arqtª Lélia Magda</t>
  </si>
  <si>
    <t>05.001.0134-A</t>
  </si>
  <si>
    <t>05.001.0023-A</t>
  </si>
  <si>
    <t>DEMOLICAO MANUAL DE ALVENARIA DE TIJOLOS FURADOS,INCLUSIVE EMPILHAMENTO LATERAL DENTRO DO CANTEIRO DE SERVICO (OBS.:3%- DESGASTE DE FERRAMENTAS E EPI).</t>
  </si>
  <si>
    <t>05.001.0145-A</t>
  </si>
  <si>
    <t>05.001.0146-A</t>
  </si>
  <si>
    <t>1.11</t>
  </si>
  <si>
    <t>1.12</t>
  </si>
  <si>
    <t>Demolição de revestimentos em azulejos, inclusive argamassa de assentamento</t>
  </si>
  <si>
    <t>1.13</t>
  </si>
  <si>
    <t>1.14</t>
  </si>
  <si>
    <t>1.15</t>
  </si>
  <si>
    <t>1.16</t>
  </si>
  <si>
    <t>1.17</t>
  </si>
  <si>
    <t>DEMOLIÇÃO DE RODAPÉ CERÂMICO, DE FORMA MANUAL, SEM REAPROVEITAMENTO. AF_12/2017</t>
  </si>
  <si>
    <t>AZULEJISTA OU LADRILHISTA COM ENCARGOS COMPLEMENTARES</t>
  </si>
  <si>
    <t>05.001.0016-A</t>
  </si>
  <si>
    <t>05.001.0009-A</t>
  </si>
  <si>
    <t>05.001.0014-A</t>
  </si>
  <si>
    <t>DEMOLICAO DE ARGAMASSA DE ASSENTAMENTO DE AZULEJO,CERAMICA OU MARMORE EM PAREDE,INCLUSIVE EMPILHAMENTO LATERAL DENTRO DO CANTEIRO DE SERVICO (OBS.:3%-DESGASTE DE FERRAMENTAS E EPI).</t>
  </si>
  <si>
    <t>05.001.0009-A + 05.001.0014-A</t>
  </si>
  <si>
    <t>05.001.0008-A</t>
  </si>
  <si>
    <t>05.001.0071-A</t>
  </si>
  <si>
    <t>05.001.0144-A</t>
  </si>
  <si>
    <t>03.009.0004-A</t>
  </si>
  <si>
    <t>Aterro com material de primeira categoria, adequadamente lançado, molhado e compactado a cada camada de 20cm, dentro das normas técnicas</t>
  </si>
  <si>
    <t>03.010.0030-A</t>
  </si>
  <si>
    <t>30595</t>
  </si>
  <si>
    <t>19.005.0030-C PA CARREGADEIRA,MOTOR DIESEL 100CV,CAPACIDADE RASA 1,3M3 (CP)</t>
  </si>
  <si>
    <t>30576</t>
  </si>
  <si>
    <t>19.005.0019-E TRATOR ESTEIRAS C/LAMINA 2330KG (CI)</t>
  </si>
  <si>
    <t>30574</t>
  </si>
  <si>
    <t>19.005.0019-C TRATOR ESTEIRAS C/LAMINA 2330KG (CP)</t>
  </si>
  <si>
    <t>30429</t>
  </si>
  <si>
    <t>19.004.0014-C CAMINHAO BASCUL. NO TOCO 8 A 10M3 (CP)</t>
  </si>
  <si>
    <t>ALVENARIA E REVESTIMENTOS</t>
  </si>
  <si>
    <t>12.010.0010-A</t>
  </si>
  <si>
    <t>04839</t>
  </si>
  <si>
    <t>BLOCO DE CONCRETO CELULAR, PARA ALVENARIA, DE (10X30X60)CM</t>
  </si>
  <si>
    <t>00209</t>
  </si>
  <si>
    <t>CAL HIDRATADA</t>
  </si>
  <si>
    <t>AREIA LAVADA, GROSSA, PARA REGIAO METROPOLITANA DO RIO DE JANEIRO</t>
  </si>
  <si>
    <t>3.3</t>
  </si>
  <si>
    <t>ARGAMASSA COLANTE TIPO ACIII</t>
  </si>
  <si>
    <t>REJUNTE COLORIDO, CIMENTICIO</t>
  </si>
  <si>
    <t>REJUNTE EPOXI COR</t>
  </si>
  <si>
    <t>11225</t>
  </si>
  <si>
    <t>PISO EM PORCELANATO TECNICO NATURAL, ACABAMENTO DA BORDA RETIF.,P/USO EM AREAS COMERCIAIS COM ACESSO P/RUA DE (60x60)CM</t>
  </si>
  <si>
    <t>ARGAMASSA PARA REJUNTAMENTO PIGMENTADA,EMBALAGEM DE 5KG</t>
  </si>
  <si>
    <t>ARGAMASSA COLANTE, PARA USO EXTERNO, EMBALAGEM DE 20 KG</t>
  </si>
  <si>
    <t>REVESTIMENTO CERÂMICO PARA PISO COM PLACAS TIPO PORCELANATO DE DIMENSÕES 45X45 CM APLICADA EM AMBIENTES DE ÁREA MAIOR QUE 10 M². AF_06/2014</t>
  </si>
  <si>
    <t>PISO EM PORCELANATO RETIFICADO EXTRA, FORMATO MENOR OU IGUAL A 2025 CM2</t>
  </si>
  <si>
    <t>3.4</t>
  </si>
  <si>
    <t>13.022.0029-A</t>
  </si>
  <si>
    <t>REVESTIMENTO COM PASTILHA CERAMICA,5X5CM,NAS CORES BRANCO NEVADA,VERDE SAMAMBAIA,VERDE XAPURI,INCLUSIVE CHAPISCO DE CIME NTO E AREIA NO TRACO 1:3 E EMBOCO COM ARGAMASSA DE CIMENTO,AREIA E SAIBRO,NO TRACO 1:2:2,ASSENTES E REJUNTADAS COM NATA DE CIMENTO BRANCO (OBS.:3%-DESGASTE DE FERRAMENTAS E EPI).</t>
  </si>
  <si>
    <t>11117</t>
  </si>
  <si>
    <t>PASTILHA DE PORCELANA, ESMALTADA, DE (5X5)CM LINHA VERDE REAL, NGK OU SIMILAR</t>
  </si>
  <si>
    <t>20114</t>
  </si>
  <si>
    <t>MAO-DE-OBRA DE PASTILHEIRO, INCLUSIVE ENCARGOS SOCIAIS DESONERADOS</t>
  </si>
  <si>
    <t>30151</t>
  </si>
  <si>
    <t>07.001.0120-B ARGAMASSA CIM.,SAIBRO,AREIA 1:2:2,PREPARO MANUAL</t>
  </si>
  <si>
    <t>30130</t>
  </si>
  <si>
    <t>07.001.0015-B PASTA DE CIMENTO BRANCO</t>
  </si>
  <si>
    <t>3.5</t>
  </si>
  <si>
    <t>3.6</t>
  </si>
  <si>
    <t>3.7</t>
  </si>
  <si>
    <t>13.331.0051-A</t>
  </si>
  <si>
    <t>RODAPE COM CERAMICA EM PORCELANATO NATURAL,COM 7,5 A 10CM DE ALTURA,ASSENTES CONFORME ITEM 13.025.0058 (OBS.:3%-DESGASTE DE FERRAMENTAS E EPI).</t>
  </si>
  <si>
    <t>06013</t>
  </si>
  <si>
    <t>MASSA UNICA COM ARGAMASSA DE CIMENTO E AREIA TERMOTRATADA, EM SACOS DE 50KG</t>
  </si>
  <si>
    <t>MAO-DE-OBRA DE CARPINTEIRO DE ESQUADRIASDE MADEIRA, INCLUSIVE ENCARGOS SOCIAISDESONERADOS</t>
  </si>
  <si>
    <t>14.001.0215-A</t>
  </si>
  <si>
    <t>3.9</t>
  </si>
  <si>
    <t>3.10</t>
  </si>
  <si>
    <t>SOLEIRA GRANITO CINZA ANDORINHA, 15X3CMCOM 2 POLIMENTOS</t>
  </si>
  <si>
    <t>CORANTE EM PO PARA CAIACAO, EM EMBALAGEMDE 250G</t>
  </si>
  <si>
    <t>MAO-DE-OBRA DE MARMORISTA DE MARMORE E GRANITO, INCLUSIVE ENCARGOS SOCIAIS DESONERADOS</t>
  </si>
  <si>
    <t>07.007.0010-B ARGAMASSA CIM.,SAIBRO,AREIA 1:2:2,PREPARO MECANICO</t>
  </si>
  <si>
    <t>3.11</t>
  </si>
  <si>
    <t>13.348.0081-A</t>
  </si>
  <si>
    <t>11184</t>
  </si>
  <si>
    <t>SOLEIRA GRANITO CINZA ANDORINHA, 25X3CMCOM 2 POLIMENTOS</t>
  </si>
  <si>
    <t>3.12</t>
  </si>
  <si>
    <t>3.13</t>
  </si>
  <si>
    <t>13.348.0055-A</t>
  </si>
  <si>
    <t>11181</t>
  </si>
  <si>
    <t>PEITORIL EM GRANITO CINZA ANDORINHA, (28X2)CM</t>
  </si>
  <si>
    <t>07.001.0130-B ARGAMASSA CIM.,SAIBRO,AREIA 1:3:3,PREPARO MANUAL</t>
  </si>
  <si>
    <t>07.001.0010-B PASTA DE CIMENTO COMUM</t>
  </si>
  <si>
    <t>4.8</t>
  </si>
  <si>
    <t>4.9</t>
  </si>
  <si>
    <t>14.006.0019-A</t>
  </si>
  <si>
    <t>00761</t>
  </si>
  <si>
    <t>PORTA LISA, SEMI-OCA PARA PINTURA, DE (70X210X3,5)CM</t>
  </si>
  <si>
    <t>58.002.0412-B TACO DE ALVENARIA (2,5 X 10 X 20)CM</t>
  </si>
  <si>
    <t>14.003.0051-A</t>
  </si>
  <si>
    <t>JANELA DE ALUMINIO ANODIZADO EM BRONZE OU PRETO,TIPO PROJETANTE, COM PAINEL PROJETANTE, PROVIDA DE HASTE DE COMANDO, EM PERFIS SERIE 28.FORNECIMENTO E COLOCACAO (OBS.:61%-ANODIZACAO TONAL.BRONZE E PRETO (15%) E ACESSORIOS (40%) 18,45%-ANODIZACAO EM TONALIDADE BRONZE E PRETO (15%) E DESGA STE DE FERRAMENTAS E EPI (3%)).</t>
  </si>
  <si>
    <t>14.004.0121-A</t>
  </si>
  <si>
    <t>VIDRO TEMPERADO,INCOLOR,COM 6MM DE ESPESSURA,ENCAIXILHADO EM MADEIRA,ALUMINIO OU FERRO.FORNECIMENTO E COLOCACAO</t>
  </si>
  <si>
    <t>07165</t>
  </si>
  <si>
    <t>VIDRO TEMPERADO INCOLOR, COLOCADO, COM ESPESSURA DE 06MM</t>
  </si>
  <si>
    <t>14.003.0071-A</t>
  </si>
  <si>
    <t>JANELA BASCULANTE DE ALUMINIO ANODIZADO EM BRONZE OU PRETO, COM 1 ORDEM E BASCULA INFERIOR FIXA, EM PERFIS SERIE 28. FOR NECIMENTO E COLOCACAO (OBS.:41,45%-ANODIZACAO TONAL.BRONZE E PRETO (15%),ACESSORIOS(23%) 18,45%-ANODIZACAO EM TONALIDADE BRONZE E PRETO (15%) E DESGA STE DE FERRAMENTAS E EPI (3%)).</t>
  </si>
  <si>
    <t>18.016.0030-A</t>
  </si>
  <si>
    <t>BANCA DE ACO INOXIDAVEL DE 2,00X0,55M,EM CHAPA 18.304,COM UMA CUBA DE 500X400X200MM EM CHAPA 20.304,VALVULA DE ESCOAMENT O TIPO AMERICANA 1623,SIFAO 1680 1.1/2"X1.1/2",SOBRE APOIOSDE ALVENARIA DE MEIA VEZ E VERGA DE CONCRETO,SEM REVESTIMENT O,EXCLUSIVE TORNEIRA.FORNECIMENTO E COLOCACAO (OBS.:3%-DESGASTE DE FERRAMENTAS E EPI).</t>
  </si>
  <si>
    <t>12.003.0075-B ALVENARIA TIJ. FURADO 10X20X20CM</t>
  </si>
  <si>
    <t>11.013.0003-B VERGAS CONCR. ARMADO P/ ALVEN.</t>
  </si>
  <si>
    <t>5.14</t>
  </si>
  <si>
    <t>18.007.0051-A</t>
  </si>
  <si>
    <t>DUCHINHA MANUAL,COM REGISTRO DE PRESSAO 1/2" CROMADO,RABICHO CROMADO,SUPORTE BRANCO,PISTOLA BRANCA,BUCHAS E PARAFUSOS PA RA FIXACAO.FORNECIMENTO</t>
  </si>
  <si>
    <t>02988</t>
  </si>
  <si>
    <t>DUCHINHA MANUAL, COM MANGUEIRA CROMADA DE 1/2"</t>
  </si>
  <si>
    <t>5.15</t>
  </si>
  <si>
    <t>5.16</t>
  </si>
  <si>
    <t>5.17</t>
  </si>
  <si>
    <t>5.18</t>
  </si>
  <si>
    <t>18.016.0108-A</t>
  </si>
  <si>
    <t>BARRA DE APOIO EM ACO INOXIDAVEL AISI 304,TUBO DE 1 1/4",INCLUSIVE FIXACAO COM PARAFUSOS INOXIDAVEIS E BUCHAS PLASTICAS, COM 70CM,PARA PESSOAS COM NECESSIDADES ESPECIFICAS.FORNECIMENTO E COLOCACAO (OBS.:3% - DESGASTE DE FERRAMENTAS E EPI).</t>
  </si>
  <si>
    <t>14490</t>
  </si>
  <si>
    <t>BARRA DE APOIO, EM ACO INOXIDAVEL AISI 304, TUBO 1.1/4", INCL. PARAFUSOS INOX. EBUCHAS PLAST. COM 70CM</t>
  </si>
  <si>
    <t>18.016.0125-A</t>
  </si>
  <si>
    <t>BARRA DE APOIO(PUXADOR HORIZONTAL/VERTICAL)EM ACO INOXIDAVEL AISI 304,TUBO DE 1 1/4",INCLUSIVE FIXACAO COM PARAFUSOS INO XIDAVEIS E BUCHAS PLASTICAS,COM 40CM,PARA PORTAS DE SANITARIOS,VESTIARIOS E QUARTOS ACESSIVEIS EM LOCAIS DE HOSPEDAGEM E DE SAUDE.FORNECIMENTO E INSTALACAO (OBS.:3%- DESGASTE DE FERRAMENTAS E EPI).</t>
  </si>
  <si>
    <t>14523</t>
  </si>
  <si>
    <t>BARRA DE APOIO, EM ACO INOXIDAVEL AISI 304, TUBO 1.1/4", INCL. PARAFUSOS INOXIDAVEIS E BUCHAS PLASTICAS COM 40CM</t>
  </si>
  <si>
    <t>BARRA DE APOIO, EM ACO INOXIDAVEL AISI 304, TUBO DE 1.1/4", COM 80CM</t>
  </si>
  <si>
    <t>5.19</t>
  </si>
  <si>
    <t>ESPELHO CRISTAL ESPESSURA 4MM, COM MOLDURA EM ALUMINIO E COMPENSADO 6MM PLASTIFICADO COLADO</t>
  </si>
  <si>
    <t>ESPELHO CRISTAL E = 4 MM</t>
  </si>
  <si>
    <t>ADITIVO ADESIVO LIQUIDO PARA ARGAMASSAS DE REVESTIMENTOS CIMENTICIOS</t>
  </si>
  <si>
    <t>CHAPA DE MADEIRA COMPENSADA NAVAL (COM COLA FENOLICA), E = 6 MM, DE *1,60 X 2,20* M</t>
  </si>
  <si>
    <t>CANTONEIRA ALUMINIO ABAS DESIGUAIS 1" X 3/4 ", E = 1/8 "</t>
  </si>
  <si>
    <t>VIDRACEIRO COM ENCARGOS COMPLEMENTARES</t>
  </si>
  <si>
    <t>AJUDANTE DE CARPINTEIRO COM ENCARGOS COMPLEMENTARES</t>
  </si>
  <si>
    <t>18.006.0054-A</t>
  </si>
  <si>
    <t>07892</t>
  </si>
  <si>
    <t>CABIDE SIMPLES, DE SOBREPOR, EM METAL CROMADO</t>
  </si>
  <si>
    <t>5.20</t>
  </si>
  <si>
    <t>TORNEIRA CROMADA 1/2" OU 3/4" PARA TANQUE, PADRÃO MÉDIO - FORNECIMENTO E INSTALAÇÃO. AF_12/2013</t>
  </si>
  <si>
    <t>TORNEIRA CROMADA SEM BICO PARA TANQUE 1/2 " OU 3/4 " (REF 1143)</t>
  </si>
  <si>
    <t>18.009.0070-A</t>
  </si>
  <si>
    <t>TORNEIRA HOSPITALAR,ACIONADA POR ALAVANCA,TIPO PAREDE,DE 1/2"X28CM APROXIMADAMENTE,EM METAL CROMADO.FORNECIMENTO</t>
  </si>
  <si>
    <t>07333</t>
  </si>
  <si>
    <t>TORNEIRA HOSPITALAR, ACIONADA POR ALAVANCA, TIPO PAREDE, EM METAL CROMADO, DE APROX. 1/2"X28CM</t>
  </si>
  <si>
    <t>M²</t>
  </si>
  <si>
    <r>
      <t xml:space="preserve">Transporte de carga de qualquer natureza,exclusive as despesas de carga e descarga,tanto de espera do caminhao como do servente ou equipamento auxiliar,a velocidade media de 30km/h,em caminhao basculante a oleo diesel,com capacidade util de 8t . </t>
    </r>
    <r>
      <rPr>
        <b/>
        <sz val="14"/>
        <color indexed="8"/>
        <rFont val="Arial"/>
        <family val="2"/>
      </rPr>
      <t>Dmt=17,0km - ctr</t>
    </r>
  </si>
  <si>
    <t>16.001.0060-A</t>
  </si>
  <si>
    <t>MADEIRAMENTO PARA COBERTURA EM TELHAS ONDULADAS,CONSTITUIDO DE PECAS DE 3"X3" E 3"X4.1/2",EM MADEIRA SERRADA,SEM TESOURA OU PONTALETE,MEDIDO PELA AREA REAL DO MADEIRAMENTO.FORNECIMENTO E COLOCACAO</t>
  </si>
  <si>
    <t>02604</t>
  </si>
  <si>
    <t>MACARANDUBA EM PECAS, DE 7,50X7,50CM (3"X3")</t>
  </si>
  <si>
    <t>02603</t>
  </si>
  <si>
    <t>MACARANDUBA EM PECAS, DE 7,50X11,25CM (3"X4.1/2")</t>
  </si>
  <si>
    <t>05904</t>
  </si>
  <si>
    <t>PARAFUSO FERRO, ROSCA SOBERBA, CABECA CHATA, DE (3,2X20)MM</t>
  </si>
  <si>
    <t>05448</t>
  </si>
  <si>
    <t>SUPORTE ZINCADO DOBRADO, P/CALHA DE BEIRAL, SEMI-CIRCULAR DE PVC, DE DN=125MM</t>
  </si>
  <si>
    <t>16.004.0050-A</t>
  </si>
  <si>
    <t>CALHA DE BEIRAL,SEMI-CIRCULAR DE PVC,DN 125,EXCLUSIVE CONDUTORES (VIDE ITEM 16.004.0055).FORNECIMENTO E COLOCACAO</t>
  </si>
  <si>
    <t>05449</t>
  </si>
  <si>
    <t>VEDACAO PARA CALHA DE BEIRAL DE PVC, DEDN=125MM</t>
  </si>
  <si>
    <t>05447</t>
  </si>
  <si>
    <t>BOCAL PARA CALHA DE BEIRAL, SEMI-CIRCULAR DE PVC, DE DN=(125X88)MM</t>
  </si>
  <si>
    <t>05446</t>
  </si>
  <si>
    <t>EMENDA DE PVC PARA CALHA DE BEIRAL, DN=125MM</t>
  </si>
  <si>
    <t>05445</t>
  </si>
  <si>
    <t>CALHA DE PVC PARA BEIRAL, DE DN=125MM, COM 3,00M</t>
  </si>
  <si>
    <t>05444</t>
  </si>
  <si>
    <t>CABECEIRA DE PVC PARA CALHA BEIRAL, DN DE 125MM, TIPO ESQUERDA</t>
  </si>
  <si>
    <t>05443</t>
  </si>
  <si>
    <t>CABECEIRA DE PVC PARA CALHA BEIRAL, DN DDE 125MM, TIPO DIREITA</t>
  </si>
  <si>
    <t>16.004.0055-A</t>
  </si>
  <si>
    <t>CONDUTOR PARA CALHA DE BEIRAL DE PVC,DN 88,INCLUSIVE CONEXOES.FORNECIMENTO E COLOCACAO</t>
  </si>
  <si>
    <t>05906</t>
  </si>
  <si>
    <t>PARAFUSO FERRO, ROSCA SOBERBA, CABECA CHATA, DE (3,8X30)MM</t>
  </si>
  <si>
    <t>05880</t>
  </si>
  <si>
    <t>BUCHA DE NYLON, TIPO S-05</t>
  </si>
  <si>
    <t>05454</t>
  </si>
  <si>
    <t>JOELHO 60§ DE PVC, P/CALHA DE BEIRAL, DE88MM</t>
  </si>
  <si>
    <t>05452</t>
  </si>
  <si>
    <t>CONDUTOR PARA CALHA DE BEIRAL DE PVC, DEDN=88MM</t>
  </si>
  <si>
    <t>05451</t>
  </si>
  <si>
    <t>JOELHO 90§ DE PVC, PARA CALHA DE BEIRAL,DE 88MM</t>
  </si>
  <si>
    <t>05450</t>
  </si>
  <si>
    <t>ABRACADEIRA PARA CALHA DE BEIRAL, DE PVC, N=88MM</t>
  </si>
  <si>
    <t>Pintura acrílica, fosca ou acetinada, classificação premium,  inclusive selador acrílico, vigoroso lixamento e no mínimo duas demãos de massa acrílica e duas demãos de acabamento (tetos)</t>
  </si>
  <si>
    <t>Pintura acrílica hospitalar, fosca ou acetinada, classificação premium,  inclusive selador acrílico, vigoroso lixamento e no mínimo duas demãos de massa acrílica e duas demãos de acabamento (vacina/curativo/esterilização)</t>
  </si>
  <si>
    <t xml:space="preserve">Pintura acrílica, fosca ou acetinada, classificação premium,  inclusive selador acrílico, vigoroso lixamento e no mínimo duas demãos de massa acrílica e duas demãos de acabamento </t>
  </si>
  <si>
    <t xml:space="preserve">Pintura externa acrílica, fosca ou acetinada, classificação premium,  inclusive selador acrílico, vigoroso lixamento e no mínimo duas demãos de acabamento </t>
  </si>
  <si>
    <t>Carga e descarga manual de materiaisreutilizáveis em caminhão de carroceria fixa</t>
  </si>
  <si>
    <t>Transporte de materiais reutilizáveis em caminhão carroceria fixa até o depósito da PMBM (SUSESP São Luiz). DMT= 6Km</t>
  </si>
  <si>
    <t>txkm</t>
  </si>
  <si>
    <t>04.006.0014-B</t>
  </si>
  <si>
    <t>30416</t>
  </si>
  <si>
    <t>19.004.0004-E CAMINHAO CARROC. FIXA 7,5T (CI)</t>
  </si>
  <si>
    <t>30414</t>
  </si>
  <si>
    <t>19.004.0004-C CAMINHAO CARROC. FIXA, 7,5T (CP)</t>
  </si>
  <si>
    <t>04.005.0006-B</t>
  </si>
  <si>
    <t>ÁREA EXTERNA</t>
  </si>
  <si>
    <t>Demolição de piso de concreto (calçada)</t>
  </si>
  <si>
    <t xml:space="preserve">Piso tátil cerâmico, tipo alerta </t>
  </si>
  <si>
    <t>17.018.0111-A</t>
  </si>
  <si>
    <t>PINTURA COM TINTA LATEX SEMIBRILHANTE,FOSCA OU ACETINADA,CLASSIFICACAO PREMIUM OU STANDARD (NBR 15079),PARA INTERIOR E E XTERIOR,BRANCA OU COLORIDA,SOBRE CONCRETO APICOADO,INCLUSIVELIXAMENTO,UMA DEMAO DE SELADOR ACRILICO E DUAS DEMAOS DE AC ABAMENTO (OBS.:3%-DESGASTE DE FERRAMENTAS E EPI).</t>
  </si>
  <si>
    <t>14496</t>
  </si>
  <si>
    <t>LIXA PARA MASSA</t>
  </si>
  <si>
    <t>06028</t>
  </si>
  <si>
    <t>SELADOR PIGMENTADO A BASE DE RESINA ACRILICA MODIFICADA, NA COR BRANCA</t>
  </si>
  <si>
    <t>03876</t>
  </si>
  <si>
    <t>TINTA LATEX STANDARD PARA EXTERIOR/INTERIOR SEMIBRILHANTE BRANCA OU COLORIDA, EMBALDES DE 18 LITROS</t>
  </si>
  <si>
    <t>MAO-DE-OBRA DE PINTOR, INCLUSIVE ENCARGOS SOCIAIS DESONERADOS</t>
  </si>
  <si>
    <t>17.018.0115-A</t>
  </si>
  <si>
    <t>PINTURA COM TINTA LATEX SEMIBRILHANTE,FOSCA OU ACETINADA,CLASSIFICACAO PREMIUM OU STANDARD (NBR 15079),PARA INTERIOR E E XTERIOR,BRANCA OU COLORIDA,SOBRE TIJOLO,CONCRETO LISO,CIMENTO SEM AMIANTO,E REVESTIMENTO,INCLUSIVE LIXAMENTO,UMA DEMAO D E SELADOR ACRILICO,DUAS DEMAOS DE MASSA ACRILICA E DUAS DEMAOS DE ACABAMENTO (OBS.:3%-DESGASTE DE FERRAMENTAS E EPI).</t>
  </si>
  <si>
    <t>03874</t>
  </si>
  <si>
    <t>MASSA ACRILILICA, EM BALDES DE 18 LITROS</t>
  </si>
  <si>
    <t>17.018.0265-A</t>
  </si>
  <si>
    <t>PINTURA COM TINTA ACRILICA ACETINADA,PARA USO HOSPITALAR,SOBRE PAREDES E TETOS,INCLUSIVE LIXAMENTO,UMA DEMAO DE SELADOR ACRILICO,DUAS DEMAOS DE MASSA ACRILICA E DUAS DEMAOS DE ACABAMENTO (OBS.:3%- DESGASTE DE FERRAMENTAS E EPI).</t>
  </si>
  <si>
    <t>14493</t>
  </si>
  <si>
    <t>TINTA ACRILICA ACETINADA, USO HOSPITALAR, PARA PAREDES E TETOS, NA COR BRANCA, EM LATA DE 18 LITROS</t>
  </si>
  <si>
    <t>03868</t>
  </si>
  <si>
    <t>MASSA CORRIDA A BASE DE PVA, EM LATAS DE18 LITROS</t>
  </si>
  <si>
    <t>17.017.0010-A</t>
  </si>
  <si>
    <t>07182</t>
  </si>
  <si>
    <t>FUNDO PREPARADOR DE PAREDES ACRILICO, BASE D`AGUA, INCOLOR</t>
  </si>
  <si>
    <t>17.017.0010-A + 17.017.0030-A</t>
  </si>
  <si>
    <t>17.017.0020-A</t>
  </si>
  <si>
    <t>00124</t>
  </si>
  <si>
    <t>ESMALTE SINTETICO ALQUIDICO ALTO BRILHO,BRILHANTE, ACETINADO OU FOSCO</t>
  </si>
  <si>
    <t>17.017.0140-A</t>
  </si>
  <si>
    <t>17.017.0100-A</t>
  </si>
  <si>
    <t>03878</t>
  </si>
  <si>
    <t>VERNIZ ISOLANTE INCOLOR</t>
  </si>
  <si>
    <t>00413</t>
  </si>
  <si>
    <t>MASSA PARA MADEIRA</t>
  </si>
  <si>
    <t>00125</t>
  </si>
  <si>
    <t>TINTA FUNDO SINTETICO NIVELADOR, PARA MADEIRA, INTERIORES E EXTERIORES</t>
  </si>
  <si>
    <t>17.017.0140-A + 17.017.0100-A</t>
  </si>
  <si>
    <t>17.018.0110-A</t>
  </si>
  <si>
    <t>PINTURA COM TINTA LATEX SEMIBRILHANTE,FOSCA OU ACETINADA,CLASSIFICACAO PREMIUM OU STANDARD (NBR 15079),PARA INTERIOR E E XTERIOR,BRANCA OU COLORIDA,SOBRE TIJOLO,CONCRETO LISO,CIMENTO SEM AMIANTO,E REVESTIMENTO,INCLUSIVE LIXAMENTO,UMA DEMAO D E SELADOR ACRILICO E DUAS DEMAOS DE ACABAMENTO (OBS.:3%-DESGASTE DE FERRAMENTAS E EPI).</t>
  </si>
  <si>
    <t>05.001.0001-A</t>
  </si>
  <si>
    <t>03.009.0004-a + 03.010.0030-a</t>
  </si>
  <si>
    <t>11.013.0135-A</t>
  </si>
  <si>
    <t>CONCRETO ARMADO,FCK=25MPA,INCLUINDO MATERIAIS PARA 1,00M3 DE CONCRETO(IMPORTADO DE USINA)ADENSADO E COLOCADO,12,00M2 DE AREA MOLDADA,FORMAS CONFORME O ITEM 11.004.0022,60KG DE ACOCA-50,INCLUSIVE MAO-DE-OBRA PARA CORTE,DOBRAGEM,MONTAGEM E COLOCACAO NAS FORMAS,EXCLUSIVE ESCORAMENTO (OBS.:3%-DESGASTE DE FERRAMENTAS E EPI).</t>
  </si>
  <si>
    <t>07328</t>
  </si>
  <si>
    <t>CONCRETO IMPORTADO DE USINA, UTILIZANDOBRITA 1, DE 25MPA</t>
  </si>
  <si>
    <t>ACO CA-50, ESTIRADO, PRECO DE REVENDEDOR, NO DIAMETRO DE 08,0MM</t>
  </si>
  <si>
    <t>ACO CA-50, ESTIRADO, PRECO DE REVENDEDOR, NO DIAMETRO DE 06,3MM</t>
  </si>
  <si>
    <t>ACO CA-50, ESTIRADO, PRECO DE REVENDEDOR, NO DIAMETRO, DE 25,0MM</t>
  </si>
  <si>
    <t>ACO CA-50, ESTIRADO, PRECO DE REVENDEDOR, NO DIAMETRO DE 16,0MM</t>
  </si>
  <si>
    <t>ACO CA-50, ESTIRADO, PRECO DE REVENDEDOR, NO DIAMETRO DE 12,5MM</t>
  </si>
  <si>
    <t>ACO CA-50, ESTIRADO, PRECO DE REVENDEDOR, NO DIAMETRO DE 10,0MM</t>
  </si>
  <si>
    <t>30283</t>
  </si>
  <si>
    <t>11.004.0022-B FORMAS MADEIRA PARAM. PLANOS; 1,4 VEZES</t>
  </si>
  <si>
    <t>TELA DE ACO SOLDADA NERVURADA, CA-60, Q-196, (3,11 KG/M2), DIAMETRO DO FIO = 5,0 MM, LARGURA =  2,45 M, ESPACAMENTO DA MALHA = 10 X 10 CM</t>
  </si>
  <si>
    <t>PEDREIRO COM ENCARGOS COMPLEMENTARES</t>
  </si>
  <si>
    <t>EXECUÇÃO DE PASSEIO (CALÇADA) OU PISO DE CONCRETO COM CONCRETO MOLDADO IN LOCO, FEITO EM OBRA, ACABAMENTO CONVENCIONAL, ESPESSURA 8 CM, ARMADO. AF_07/2016</t>
  </si>
  <si>
    <t>SARRAFO DE MADEIRA NAO APARELHADA *2,5 X 10 CM, MACARANDUBA, ANGELIM OU EQUIVALENTE DA REGIAO</t>
  </si>
  <si>
    <t>LONA PLASTICA PRETA, E= 150 MICRA</t>
  </si>
  <si>
    <t>CARPINTEIRO DE FORMAS COM ENCARGOS COMPLEMENTARES</t>
  </si>
  <si>
    <t>13.333.0015-A</t>
  </si>
  <si>
    <t>REVESTIMENTO DE PISO COM CERAMICA TATIL ALERTA,(LADRILHO HIDRAULICO) PARA PESSOAS COM NECESSIDADES ESPECIFICAS,ASSENTES SOBRE SUPERFICIE EM OSSO,CONFORME ITEM 13.330.0010 (OBS.:3%-DESGASTE DE FERRAMENTAS E EPI).</t>
  </si>
  <si>
    <t>11228</t>
  </si>
  <si>
    <t>PISO CERAMICO TATIL ALERTA, AMARELO, PARA PORTADORES DE NECESSIDADES ESPECIFICAS</t>
  </si>
  <si>
    <t>05350</t>
  </si>
  <si>
    <t>OXIDO DE FERRO</t>
  </si>
  <si>
    <t>00560</t>
  </si>
  <si>
    <t>TIJOLO CERAMICO, FURADO, DE (10X20X30)CM</t>
  </si>
  <si>
    <t>00559</t>
  </si>
  <si>
    <t>TIJOLO CERAMICO, FURADO, DE (10X20X20)CM</t>
  </si>
  <si>
    <t>07.006.0025-B ARGAMASSA CIM.,SAIBRO TRACO 1:8,PREPAROMECANICO</t>
  </si>
  <si>
    <t>07.002.0025-B ARGAMASSA CIM.,AREIA TRACO 1:3,PREPAROMECANICO</t>
  </si>
  <si>
    <t>13.001.0041-A</t>
  </si>
  <si>
    <t>EMBOCO INTERNO COM ARGAMASSA DE CIMENTO,CAL HIDRATADA ADITIVADA E AREIA,NO TRACO 1:1:8,COM ESPESSURA DE 2CM,EXCLUSIVE CH APISCO</t>
  </si>
  <si>
    <t>30174</t>
  </si>
  <si>
    <t>07.005.0030-B ARGAMASSA CIM.,CAL HIDR.AREIA-EMBOC.INT.PREPARO MECANICO</t>
  </si>
  <si>
    <t>d</t>
  </si>
  <si>
    <t>chapa de 0,40 para proteção do pé da porta</t>
  </si>
  <si>
    <t>14.006.0021-A</t>
  </si>
  <si>
    <t>00760</t>
  </si>
  <si>
    <t>PORTA LISA, SEMI-OCA PARA PINTURA, DE (80X210X3,5)CM</t>
  </si>
  <si>
    <t>14.006.0021-A + 14.006.0407-A + 14.006.0409-A</t>
  </si>
  <si>
    <t>16.004.0015-A</t>
  </si>
  <si>
    <t>COBERTURA EM TELHAS ONDULADAS DE CIMENTO,SEM AMIANTO,REFORCADO COM FIOS SINTETICOS (CRFS),COM ESPESSURA DE 6MM,EXCLUSIVE MADEIRAMENTO.FORNECIMENTO E COLOCACAO</t>
  </si>
  <si>
    <t>08000</t>
  </si>
  <si>
    <t>TELHA ONDULADA DE CIMENTO, SEM AMIANTO,REFORCADA C/FIOS SINTETICOS (CRFS), DE (2,44X1,10)M E C/ESPES. DE 6MM</t>
  </si>
  <si>
    <t>05962</t>
  </si>
  <si>
    <t>CONJUNTO DE VEDACAO, COM ARRUELA GALVANIZADA E BORRACHAS PARA PARAFUSO DE FIXACAO DE TELHA ONDULADA</t>
  </si>
  <si>
    <t>02216</t>
  </si>
  <si>
    <t>MASSA DE VEDACAO P/ARTEFATOS DE CIMENTOAMIANTO</t>
  </si>
  <si>
    <t>00252</t>
  </si>
  <si>
    <t>PARAFUSO C/ROSCA, DE (8x100)MM</t>
  </si>
  <si>
    <t>13.348.0045-A</t>
  </si>
  <si>
    <t>11199</t>
  </si>
  <si>
    <t>ESPELHO OU CHAPIM GRANITO CINZA ANDORINHA, 20X3CM, SEM ACABAMENTO</t>
  </si>
  <si>
    <t>8.7</t>
  </si>
  <si>
    <t>17.013.0031-A</t>
  </si>
  <si>
    <t>PINTURA INTERNA OU EXTERNA SOBRE CONCRETO APICOADO,COM TINTA AQUOSA A BASE DE EPOXI INCOLOR OU EM CORES,INCLUSIVE LIMPEZ A,E DUAS DEMAOS DE ACABAMENTO</t>
  </si>
  <si>
    <t>07416</t>
  </si>
  <si>
    <t>TINTA EPOXYCA, BICOMPONENTE ISENTA DE SOLVENTES</t>
  </si>
  <si>
    <t>05.001.0001-5</t>
  </si>
  <si>
    <t>Retirada de pingadeira em concreto simples (10cm largura)</t>
  </si>
  <si>
    <t>cantoneira em pvc , abas iguais, 3 cm de largura</t>
  </si>
  <si>
    <t>Fornecimento e instalação de cantoneiras de pvc com 3cm de largura.</t>
  </si>
  <si>
    <t>JANELA DE ALUMINIO ANODIZADO branco,TIPO PROJETANTE, COM PAINEL PROJETANTE, PROVIDA DE HASTE DE COMANDO, EM PERFIS SERIE 28.FORNECIMENTO E COLOCACAO  (maximar superior de 0,40 x 1,60)</t>
  </si>
  <si>
    <t>14.003.0051-5</t>
  </si>
  <si>
    <t>13727</t>
  </si>
  <si>
    <t>PUXADOR DE ACO INOX, VERTICAL C/40CM, C/FLANGES DE FIXACAO</t>
  </si>
  <si>
    <t>14.004.0120-A + 14.007.0170-6 + 14.003.0051-5</t>
  </si>
  <si>
    <t>14.003.0017-A</t>
  </si>
  <si>
    <t>JANELA DE ALUMINIO ANODIZADO EM BRONZE OU PRETO,DUAS FOLHAS DE CORRER E BANDEIRA DE 0,50M DE ALTURA COM PAINEIS BASCULAN TES,EM PERFIS SERIE 28.FORNECIMENTO E COLOCACAO (OBS.:55,25%-ANODIZACAO TONAL.BRONZE E PRETO(15%),ACESSORIOS(35%) 18,45%-ANODIZACAO EM TONALIDADE BRONZE E PRETO (15%) E DESGA STE DE FERRAMENTAS E EPI (3%)).</t>
  </si>
  <si>
    <t>VIDRO TEMPERADO INCOLOR, ESPESSURA 8MM, FORNECIMENTO E INSTALACAO, INCLUSIVE MASSA PARA VEDACAO</t>
  </si>
  <si>
    <t>VIDRO TEMPERADO INCOLOR E = 8 MM, SEM COLOCACAO</t>
  </si>
  <si>
    <t>MASSA PARA VIDRO</t>
  </si>
  <si>
    <t>SI000072119 + 14.003.0017-A</t>
  </si>
  <si>
    <t>Janela de correr com bandeira superior móvel, em vidro temperado incolor transparente e caixilharia em alumínio anodizado branco, inclusive ferragens, duas folhas móveis, medidas conforme projeto.</t>
  </si>
  <si>
    <t>D</t>
  </si>
  <si>
    <t>14.007.0045-A</t>
  </si>
  <si>
    <t>FERRAGENS PARA PORTAS MADEIRA,DE 1 FOLHA DE ABRIR,INTERNAS, SOCIAIS OU DE SERVICO,CONSTANDO DE FORNECIMENTO S/COLOCACAO; -FECHADURA SIMPLES, RETANGULAR,DE FERRO,ACABAMENTO CROMADO;-MACANETA TIPO ALAVANCA,EM ZAMAK OU LATAO,ACABAMENTO POLIDO E CROMADO;-ESPELHO RET.OU SEMIELIPTICO FERRO OU LATAO;-3 DOBRADICAS DE FERRO GALV.DE 3"X2.1/2",C/PINOS E BOLAS DE LATAO</t>
  </si>
  <si>
    <t>07805</t>
  </si>
  <si>
    <t>FECHADURA DE EMBUTIR EM LATAO CROMADO, P/PORTA INT., MACANETA TIPO ALAVANCA EM ZAMAK, DIST. 55MM E PROFUND. 83MM</t>
  </si>
  <si>
    <t>04922</t>
  </si>
  <si>
    <t>DOBRADICA EM ACO LAMINADO C/PINOS, BOLASE ANEIS DE LATAO, DE 3"X2.1/2"X5/64"</t>
  </si>
  <si>
    <t>14.006.0019-A + 14.006.0407-A + 14.006.0409-A + 14.007.0045-A</t>
  </si>
  <si>
    <t>14.006.0019-A + 14.007.0045-A</t>
  </si>
  <si>
    <t>e</t>
  </si>
  <si>
    <t>14.007.0065-A</t>
  </si>
  <si>
    <t>FERRAGENS PARA PORTAS DE MADEIRA,DE 1 FOLHA,DE ABRIR,INTERNA PARA BANHEIRO DE SERVICO, CONSTANDO DE FORN.S/COLOC.,DE:-FE CHADURA SIMPLES,COM CHAPA-TESTA,LINGUETA E CUBO EM LATAO,ACABAMENTO CROMADO;-TRANQUETA CIRCULAR EM LATAO LAMINADO,TRINCO ACOPLADO, ACABAMENTO CROMADO;-3 DOBRADICAS DE FERRO GALVANIZADO DE 3"X2.1/2",COM PINO E BOLAS DE FERRO</t>
  </si>
  <si>
    <t>07808</t>
  </si>
  <si>
    <t>FECHADURA DE EMBUTIR P/PORTA INTERNA DEBANHEIRO, C/TRANQUETA, EM LATAO COM ACABAM.CROMADO, DIST.55MM E PROFUND.77MM</t>
  </si>
  <si>
    <t>14.002.0240-A</t>
  </si>
  <si>
    <t>11415</t>
  </si>
  <si>
    <t>CHAPA DE ACO ESCOVADO N§14</t>
  </si>
  <si>
    <t>07656</t>
  </si>
  <si>
    <t>PARAFUSO, CABECA LENTILHA, DE 1/4"X5/8"</t>
  </si>
  <si>
    <t>14.002.0040-6</t>
  </si>
  <si>
    <t>14.006.0023-A + 14.006.0407-A + 14.006.0409-A + 14.002.0040-6 + 14.007.0065-A</t>
  </si>
  <si>
    <t>14.002.0052-A</t>
  </si>
  <si>
    <t>11794</t>
  </si>
  <si>
    <t>CHAPA DE ACO GALVANIZADO, N§16 (1,55)MM</t>
  </si>
  <si>
    <t>00011</t>
  </si>
  <si>
    <t>CANTONEIRA DE ACO DOCE, P/SERRALHERIA, PRECO DE REVENDEDOR, DE 5/8"X1/8" ATE 1.1/2"X1/8"</t>
  </si>
  <si>
    <t>1.3</t>
  </si>
  <si>
    <t>05.001.0049-A</t>
  </si>
  <si>
    <t>05.001.0042-A</t>
  </si>
  <si>
    <t>Revestimento 5x5cm, para fachada, com rejuntamento epoxi.</t>
  </si>
  <si>
    <t>Revestimento de cerâmica 10x10cm, para fachada com rejuntamento epoxi</t>
  </si>
  <si>
    <t>3.8</t>
  </si>
  <si>
    <t>13.075.0010-A</t>
  </si>
  <si>
    <t>11212</t>
  </si>
  <si>
    <t>FILETES DERIVADOS DE PEDRAS COM ESPESSURA DE 1,5 A 4,0CM</t>
  </si>
  <si>
    <t>30170</t>
  </si>
  <si>
    <t>07.005.0010-B ARGAMASSA CIM.,CAL E AREIA FINA,TRACO1:3:5,PREPARO MECANICO</t>
  </si>
  <si>
    <t>Janela basculante em vidro temperado incolor 8mm fosco e caixilharia em alumínio anodizado branco, inclusive ferragens, medidas conforme projeto</t>
  </si>
  <si>
    <t>Porta externa de abrir em vidro temperado 10mm e caixilharia em alumínio anodizado branco, com báscula superior, inclusive fechadura e puxadores verticais em aço inox 40cm com flanges de fixação (1,60x 2,50).</t>
  </si>
  <si>
    <t>5.4</t>
  </si>
  <si>
    <t>5.5</t>
  </si>
  <si>
    <t>5.6</t>
  </si>
  <si>
    <t>5.7</t>
  </si>
  <si>
    <t>5.8</t>
  </si>
  <si>
    <t>5.9</t>
  </si>
  <si>
    <t>5.10</t>
  </si>
  <si>
    <t>5.13</t>
  </si>
  <si>
    <t>fornecedor</t>
  </si>
  <si>
    <t>RW INOX LTDA ME</t>
  </si>
  <si>
    <t>BANCA EM AÇO INOX AISI 304 COM CUVA CENTRAL MEDINDO 50X40X30 PRATELEIRA GRADEADA INFERIOR</t>
  </si>
  <si>
    <t>METALPER INOXIDÁVEIS</t>
  </si>
  <si>
    <t>CONSTRINOX</t>
  </si>
  <si>
    <t>MERCADO</t>
  </si>
  <si>
    <t>18.016.0030-6</t>
  </si>
  <si>
    <t>Banca de aço inox (1,40 x 0,60m) com cuba aço inox (50x40x30cm), pés e prateleira inferior também em aço inox, sifão</t>
  </si>
  <si>
    <t>Banca de aço inox (1,70 x 0,60m) com cuba aço inox (50x40x30cm), pés e prateleira inferior também em aço inox, sifão</t>
  </si>
  <si>
    <t>LAVATÓRIO EM AÇO INOX AISI 304</t>
  </si>
  <si>
    <t>LAVATÓRIO EM AÇO INOX AISI 305</t>
  </si>
  <si>
    <t>LAVATÓRIO EM AÇO INOX AISI 306</t>
  </si>
  <si>
    <t>Fornecimento e colocação de lavatório em aço inox ,  40x40cm, sifão em metal cromado, válvula de escoamento tipo americana.</t>
  </si>
  <si>
    <t>18.002.0070-A</t>
  </si>
  <si>
    <t>VASO SANITARIO DE LOUCA BRANCA,TIPO MEDIO LUXO,COM CAIXA ACOPLADA,INCLUSIVE RABICHO CROMADO DE 40CM,COM SAIDA DE 1/2",BO LSA DE LIGACAO E ACESSORIOS DE FIXACAO.FORNECIMENTO</t>
  </si>
  <si>
    <t>05953</t>
  </si>
  <si>
    <t>BOLSA DE LIGACAO PARA VASO SANITARIO</t>
  </si>
  <si>
    <t>02978</t>
  </si>
  <si>
    <t>RABICHO CROMADO COM SAIDA DE 1/2" E COMCOMPRIMENTO DE 40CM</t>
  </si>
  <si>
    <t>VASO SANITARIO, DE LOUCA BRANCA, P/PESSOAS C/NECESSIDADES ESPECIFICAS, INCLUS. ASSENTO ESPECIAL E ACESSORIOS DE FIXACAO</t>
  </si>
  <si>
    <t>15.004.0110-A</t>
  </si>
  <si>
    <t>INSTALACAO E ASSENTAMENTO DE VASO SANITARIO COM CAIXA ACOPLADA(EXCLUSIVE ESTES)EM PAVIMENTO TERREO,COMPREENDENDO:INSTALA CAO HIDRAULICA COM 2,00M DE TUBO DE PVC DE 25MM,COM CONEXOES,ATE A CAIXA,LIGACAO DE ESGOTO COM 3,00M DE TUBO DE PVC DE 1 00MM A CAIXA DE INSPECAO E TUBO DE VENTILACAO,INCLUSIVE CONEXOES,EXCLUSIVE O TUBO DE VENTILACAO (OBS.:3%-DESGASTE DE FERRAMENTAS E EPI).</t>
  </si>
  <si>
    <t>05780</t>
  </si>
  <si>
    <t>JOELHO 90§ DE PVC SOLDAVEL COM BUCHA DELATAO, DE 25MMX1/2"</t>
  </si>
  <si>
    <t>05766</t>
  </si>
  <si>
    <t>JOELHO 90§ DE PVC, PARA ESGOTO, DE 100MM</t>
  </si>
  <si>
    <t>05734</t>
  </si>
  <si>
    <t>JOELHO 90§ DE PVC SOLDAVEL, DE 025MM</t>
  </si>
  <si>
    <t>05732</t>
  </si>
  <si>
    <t>TE 90§ DE PVC RIGIDO SOLDAVEL, DE 025MM</t>
  </si>
  <si>
    <t>SOLVENTE (SOLUCAO LIMPADORA) P/CONEXOESDE PVC, EM FRASCOS PLASTICOS DE 1000CM3</t>
  </si>
  <si>
    <t>02831</t>
  </si>
  <si>
    <t>ANEL DE BORRACHA, PARA TUBO DE PVC-ESGOTO PRIMARIO, DE 100MM</t>
  </si>
  <si>
    <t>02385</t>
  </si>
  <si>
    <t>LIXA D'AGUA N§ 100</t>
  </si>
  <si>
    <t>00666</t>
  </si>
  <si>
    <t>BUCHA DE NYLON, TIPO S-12</t>
  </si>
  <si>
    <t>18.002.0070-5 + 15.004.0110-a</t>
  </si>
  <si>
    <t>Fornecimento e instalação de vaso sanitário de louça branca, para pessoas com necessidades especificas, inclusive caixa acoplada, rabicho cromado de 40cm com saída de 1/2", bolsa de ligação e assento especial e acessórios de fixação, com instalação compreendendo: 2m de tubo de pvc de 25mm, com conexões até a caixa, ligação de esgoto com 3m de tubo de pvc de 100mm a caixa de inspeção e tubo de ventilação, inclusive conexões.</t>
  </si>
  <si>
    <t>15.004.0059-A</t>
  </si>
  <si>
    <t>INSTALACAO E ASSENTAMENTO DE DUCHINHA MANUAL PARA BANHEIRO(EXCLUSIVE FORNECIMENTO DO APARELHO),COMPREENDENDO:3,00M DE TU BO DE PVC DE 25MM E CONEXOES (OBS.:3%-DESGASTE DE FERRAMENTAS E EPI).</t>
  </si>
  <si>
    <t>Fornecimento e instalação de duchinha manual com registro de pressão 1/2" cromado, rabicho cromado, suporte, pistola, buchas e parafusos para fixação, sendo compreendidos  3m de tubo pvc 25mm e conexões.</t>
  </si>
  <si>
    <t>18.007.0051-A + 15.004.0059-a</t>
  </si>
  <si>
    <t>18.002.0014-A</t>
  </si>
  <si>
    <t>LAVATORIO DE LOUCA BRANCA,COM COLUNA SUSPENSA,PARA PESSOAS COM NECESSIDADES ESPECIFICAS,COM MEDIDAS EM TORNO DE 45,5X35, 5CM,INCLUSIVE SIFAO EM PVC FLEXIVEL,VALVULA DE ESCOAMENTO CROMADA,RABICHO EM PVC E TORNEIRA DE FECHAMENTO AUTOMATICO.FOR NECIMENTO</t>
  </si>
  <si>
    <t>13101</t>
  </si>
  <si>
    <t>LAVATORIO DE LOUCA BRANCA, COM COLUNA SUSPENSA, MEDINDO EM TORNO DE 45,5X35,5CM,P/PESSOAS C/NECESSIDADES ESPECIFICAS</t>
  </si>
  <si>
    <t>07006</t>
  </si>
  <si>
    <t>SIFAO FLEXIVEL PARA PIA OU LAVATORIO EMPVC 1"X40MM</t>
  </si>
  <si>
    <t>Lavatorio de louca branca,com coluna suspensa,para pessoas com necessidades especificas,com medidas em torno de 45,5x35,5cm,inclusive sifao em pvc flexivel,valvula de escoamento cromada,rabicho em pvc e torneira de fechamento automatico.fornecimento</t>
  </si>
  <si>
    <t>18.002.0031-A</t>
  </si>
  <si>
    <t>TANQUE DE LOUCA BRANCA,COM COLUNA E MEDIDAS EM TORNO DE 60X56CM,INCLUSIVE ACESSORIOS DE FIXACAO.FERRAGENS EM METAL CROMA DO:TORNEIRA DE PRESSAO 1158 DE 1/2",VALVULA DE ESCOAMENTO 1606 E SIFAO 1680 DE 1.1/2"X1.1/2".FORNECIMENTO</t>
  </si>
  <si>
    <t>03950</t>
  </si>
  <si>
    <t>VALVULA DE ESCOAMENTO, P/TANQUE, 1606, EM METAL CROMADO, DE 1.1/2"</t>
  </si>
  <si>
    <t>03916</t>
  </si>
  <si>
    <t>TANQUE DE LOUCA BRANCA, 22 LITROS, INCLUSIVE ACESSORIOS DE FIXACAO</t>
  </si>
  <si>
    <t>03913</t>
  </si>
  <si>
    <t>COLUNA DE LOUCA BRANCA, PARA TANQUE</t>
  </si>
  <si>
    <t>02394</t>
  </si>
  <si>
    <t>TORNEIRA PARA PIA OU TANQUE, EM METAL CROMADO, DE APROXIM. 1/2"X18CM</t>
  </si>
  <si>
    <t>15.004.0070-A</t>
  </si>
  <si>
    <t>INSTALACAO E ASSENTAMENTO DE TANQUE DE SERVICO (EXCLUSIVE FORNECIMENTO DO APARELHO),COMPREENDENDO:3,00M DE TUBO DE PVC D E 25MM,3,00M DE TUBO DE PVC DE 50MM E CONEXOES (OBS.:3%-DESGASTE DE FERRAMENTAS E EPI).</t>
  </si>
  <si>
    <t>05024</t>
  </si>
  <si>
    <t>LUVA DE PVC RIGIDO SOLDADO, DE REDUCAO,DE 25MMX3/4" E COM BUCHA DE LATAO</t>
  </si>
  <si>
    <t>02829</t>
  </si>
  <si>
    <t>ANEL DE BORRACHA, PARA TUBO DE PVC-ESGOTO PRIMARIO, DE 050MM</t>
  </si>
  <si>
    <t>02653</t>
  </si>
  <si>
    <t>CURVA 90§ DE PVC CURTA PARA ESGOTO, DE 050MM</t>
  </si>
  <si>
    <t>18.002.0031-a + 15.004.0070-a</t>
  </si>
  <si>
    <t>Fornecimento e instalação de tanque de louca branca,com coluna e medidas em torno de 60x56cm,inclusive acessorios de fixacao.ferragens em metal cromado:torneira de pressao 1158 de 1/2",valvula de escoamento 1606 e sifao 1680 de 1.1/2"x1.1/2".instalacao compreendendo:3,00m de tubo de pvc de 25mm,3,00m de tubo de pvc de 50mm e conexoes</t>
  </si>
  <si>
    <t>18.016.0045-A</t>
  </si>
  <si>
    <t>02594</t>
  </si>
  <si>
    <t>BANCA DE ACO INOXIDAVEL, CHAPA 18/304, C/0,55M DE LARGURA, SENDO BANCA SECA, MEDINDO ATE 3,00M DE COMPRIMENTO</t>
  </si>
  <si>
    <t>Fornecimento e assentamento de tampo em aco inoxidavel em "L",,com 0,18m de largura, 1,50m de comprimento,em chapa 18.304,sobre apoios de alvenaria, exclusive estes.</t>
  </si>
  <si>
    <t>INSTALACAO DE UM CONJUNTO DE 2 PONTOS DE LUZ,EMBUTIDO NA LAJE,EQUIVALENTE A 5 VARAS DE ELETRODUTO DE PVC RIGIDO DE 3/4", 33,00M DE FIO 2,5MM2,CAIXAS,CONEXOES,LUVAS,CURVA E INTERRUPTOR DE EMBUTIR COM PLACA FOSFORESCENTE,INCLUSIVE ABERTURA E F ECHAMENTO DE RASGO EM ALVENARIA (OBS.:3%-DESGASTE DE FERRAMENTAS E EPI).</t>
  </si>
  <si>
    <t>CAIXA DE LUZ DE PVC, DE 4"x4"</t>
  </si>
  <si>
    <t>CAIXA DE LUZ DE PVC, DE 4"x2"</t>
  </si>
  <si>
    <t>INTERRUPTOR DE EMBUTIR, FOSFORESCENTE, C/PLACA, DE 1 TECLA SIMPLES</t>
  </si>
  <si>
    <t>15.015.0035-a</t>
  </si>
  <si>
    <t>05944</t>
  </si>
  <si>
    <t>6.1</t>
  </si>
  <si>
    <t>15.015.0055-A</t>
  </si>
  <si>
    <t>INSTALACAO DE UM CONJUNTO DE 3 PONTOS DE LUZ,EMBUTIDO NA LAJE,EQUIVALENTE A 6 VARAS DE ELETRODUTO DE PVC RIGIDO DE 1/2", 50,00M DE FIO 2,5MM2,CAIXAS,CONEXOES,LUVAS,CURVA E INTERRUPTOR DE EMBUTIR COM PLACA FOSFORESCENTE,INCLUSIVE ABERTURA E F ECHAMENTO DE RASGO EM ALVENARIA (OBS.:3%-DESGASTE DE FERRAMENTAS E EPI).</t>
  </si>
  <si>
    <t>BUCHA E ARRUELA DE ALUMINIO PARA ELETRODUTO, DE 1/2"</t>
  </si>
  <si>
    <t>02960</t>
  </si>
  <si>
    <t>CURVA 90§ DE PVC RIGIDO, ROSQUEAVEL, PARA ELETRODUTO, DE 1/2"</t>
  </si>
  <si>
    <t>LUVA DE PVC RIGIDO ROSQUEAVEL, PARA ELETRODUTO, DE 1/2"</t>
  </si>
  <si>
    <t>6.2</t>
  </si>
  <si>
    <t>6.3</t>
  </si>
  <si>
    <t>6.4</t>
  </si>
  <si>
    <t>6.5</t>
  </si>
  <si>
    <t>6.6</t>
  </si>
  <si>
    <t>6.7</t>
  </si>
  <si>
    <t>6.8</t>
  </si>
  <si>
    <t>6.9</t>
  </si>
  <si>
    <t>6.10</t>
  </si>
  <si>
    <t>Pingadeira para platibandas em granito cinza andorinha, espessura 2cm e largura aproximada de 20cm, com inclinação direcionada para o telhado (balanços nas pedras para os dois lados), peças devidamente rejuntadas e fixadas com segurança utilizando grampos de arame galvanizado fixados nas peças.</t>
  </si>
  <si>
    <t>RUFO INTERNO/EXTERNO DE CHAPA DE ACO GALVANIZADA NUM 24, CORTE 25 CM (COLETADO CAIXA)</t>
  </si>
  <si>
    <t>SOLDA EM BARRA DE ESTANHO-CHUMBO 50/50</t>
  </si>
  <si>
    <t>REBITE DE ALUMINIO VAZADO DE REPUXO, 3,2 X 8 MM (1KG = 1025 UNIDADES)</t>
  </si>
  <si>
    <t>PREGO DE ACO POLIDO COM CABECA 18 X 27 (2 1/2 X 10)</t>
  </si>
  <si>
    <t>SELANTE ELASTICO MONOCOMPONENTE A BASE DE POLIURETANO PARA JUNTAS DIVERSAS</t>
  </si>
  <si>
    <t>310ML</t>
  </si>
  <si>
    <t>TELHADISTA COM ENCARGOS COMPLEMENTARES</t>
  </si>
  <si>
    <t>RUFO EM CHAPA DE AÇO GALVANIZADO NÚMERO 24, CORTE DE 33 CM, INCLUSO TRANSPORTE VERTICAL. AF_06/2016</t>
  </si>
  <si>
    <t>SI000094231 alterado</t>
  </si>
  <si>
    <t xml:space="preserve">Barrado em esmalte  à base de água, fosco ou acetinado, classificação premium,  inclusive selador acrílico, vigoroso lixamento e no mínimo duas demãos de massa acrílica e duas demãos de acabamento </t>
  </si>
  <si>
    <t xml:space="preserve">Pintura esmalte à base de água, fosca ou acetinada, classificação premium, vigoroso lixamento, inclusive massa para madeira, fundo nivelador e no mínimo duas demãos de acabamento </t>
  </si>
  <si>
    <t>8.8</t>
  </si>
  <si>
    <t>17.017.0320-A</t>
  </si>
  <si>
    <t>PINTURA INTERNA OU EXTERNA SOBRE FERRO,COM ESMALTE SINTETICO BRILHANTE OU ACETINADO APOS LIXAMENTO,LIMPEZA,DESENGORDURAM ENTO,UMA DEMAO DE FUNDO ANTICORROSIVO NA COR LARANJA DE SECAGEM RAPIDA E DUAS DEMAOS DE ACABAMENTO</t>
  </si>
  <si>
    <t>06021</t>
  </si>
  <si>
    <t>FUNDO ANTICORROSIVO DE SECAGEM RAPIDA LARANJA</t>
  </si>
  <si>
    <t>SI000006225</t>
  </si>
  <si>
    <t>IMPERMEABILIZACAO DE CALHAS/LAJES DESCOBERTAS, COM EMULSAO ASFALTICA COM ELASTOMEROS, 3 DEMAOS</t>
  </si>
  <si>
    <t>MANTA LIQUIDA DE BASE ASFALTICA MODIFICADA COM A ADICAO DE ELASTOMEROS DILUIDOS EM SOLVENTE ORGANICO, APLICACAO A FRIO (MEMBRANA IMPERMEABILIZANTE ASFASTICA)</t>
  </si>
  <si>
    <t>FORNECEDOR</t>
  </si>
  <si>
    <t>04319</t>
  </si>
  <si>
    <t>LAMPADA FLUORESCENTE TUBULAR LED, DE 18W</t>
  </si>
  <si>
    <t>CLARON ILUMINAÇÃO</t>
  </si>
  <si>
    <t>LEDMAX</t>
  </si>
  <si>
    <t>SUSTENTALED</t>
  </si>
  <si>
    <t>MAT080300</t>
  </si>
  <si>
    <t>Lixa d'agua no 100</t>
  </si>
  <si>
    <t>MAT121450</t>
  </si>
  <si>
    <t>Removedor de tintas convencionais, lata de 5l, Pint-off ou similar</t>
  </si>
  <si>
    <t>MOD902450</t>
  </si>
  <si>
    <t>Servente (desonerado)</t>
  </si>
  <si>
    <t>h</t>
  </si>
  <si>
    <t>EVE000050</t>
  </si>
  <si>
    <t>3% incidente sobre mao de obra com Encargos Sociais para cobrir despesas de EPI e ferramentas</t>
  </si>
  <si>
    <t>%</t>
  </si>
  <si>
    <t>Remocao de pintura a oleo, pintura alquidica e vernizes.(desonerado)</t>
  </si>
  <si>
    <t>PT 04.05.0150</t>
  </si>
  <si>
    <t>Remoção total de barrado de esmalte sintético com lixamento manual e uso de removedor de tintas específico.</t>
  </si>
  <si>
    <t xml:space="preserve">Fornecimento e instalação de porta de madeira 70x210x3cm, folheada nas duas faces, inclusive aduelas de 15cm, alizares, conjunto de ferragem, materiais, mão-de-obra e equipamentos.       (depósito)                                                                                   </t>
  </si>
  <si>
    <t>PORTA DE MADEIRA DE LEI EM COMPENSADO,DE 70X210X3CM,FOLHEADA NAS 2 FACES, INCLUSIVE CONJUNTO DE FERRAGENS, EXCLUSIVE ADUELA E ALIZARES.FORNECIME NTO E COLOCACAO  (sanitário do consultório)</t>
  </si>
  <si>
    <t xml:space="preserve">Fornecimento e instalação de porta de madeira 90x210x3cm, folheada nas duas faces, inclusive aduelas de 15cm, alizares, chapa de aço escovado, chapa nº14 com 0,40cm de altura  para proteção do pé da porta em ambos os lados inclusive na aduela, conforme NBR 9050,conjunto de ferragem,.materiais, mão-de-obra e equipamentos.                                       (sanitários da espera)                                                    </t>
  </si>
  <si>
    <t>FERRAGENS PARA PORTAS MADEIRA,DE 1 FOLHA DE ABRIR,INTERNAS, SOCIAIS OU DE SERVICO,CONSTANDO DE FORNECIMENTO S/COLOCACAO; -FECHADURA SIMPLES, RETANGULAR,DE FERRO,ACABAMENTO CROMADO;-MACANETA TIPO ALAVANCA,EM ZAMAK OU LATAO,ACABAMENTO POLIDO E CROMADO;-ESPELHO RET.OU SEMIELIPTICO FERRO OU LATAO;-3 DOBRADICAS DE FERRO GALV.DE 3"X2.1/2",C/PINOS E BOLAS DE LATAO (copa e circulação)</t>
  </si>
  <si>
    <t xml:space="preserve">INSTALAÇÕES HIDRO-SANITÁRIAS  </t>
  </si>
  <si>
    <t>18.027.0315-A</t>
  </si>
  <si>
    <t>05946</t>
  </si>
  <si>
    <t>LUMINARIA DE SOBREPOR,FIXADA EM LAJE OU FORRO,TIPO CALHA,CHANFRADA OU PRISMATICA,ESMALTADA,COMPLETA, LAMPADA FLUORESCENTE LED DE 2X18W.FORNECIMENTO E COLOCACAO</t>
  </si>
  <si>
    <t>18.027.0302-A</t>
  </si>
  <si>
    <t>LUMINARIA DE SOBREPOR FIXADA EM LAJE OU FORRO,TIPO CALHA,CHANFRADA OU PRISMATICA,ESMALTADA,COMPLETA, LAMPADA FLUORESCENTE LED DE 18W.FORNECIMENTO E COLOCACAO</t>
  </si>
  <si>
    <t>CONCRETO ARMADO,FCK=25MPA,INCLUINDO MATERIAIS PARA 1,00M3 DE CONCRETO(IMPORTADO DE USINA)ADENSADO E COLOCADO,12,00M2 DE AREA MOLDADA,FORMAS CONFORME O ITEM 11.004.0022,60KG DE ACOCA-50,INCLUSIVE MAO-DE-OBRA PARA CORTE,DOBRAGEM,MONTAGEM E COLOCACAO NAS FORMAS,EXCLUSIVE ESCORAMENTO (FECHAMENTO CISTERNA EXISTENTE)</t>
  </si>
  <si>
    <t>13.301.0080-B</t>
  </si>
  <si>
    <t>PISO CIMENTADO,COM 1,5CM DE ESPESSURA,COM ARGAMASSA DE CIMENTO E AREIA,NO TRACO 1:3,ALISADO A COLHER, SOBRE BASE EXISTEN TE</t>
  </si>
  <si>
    <t>REMOÇÃO DE CABOS ELÉTRICOS, DE FORMA MANUAL, SEM REAPROVEITAMENTO. AF_12/2017</t>
  </si>
  <si>
    <t>ELETRICISTA COM ENCARGOS COMPLEMENTARES</t>
  </si>
  <si>
    <t xml:space="preserve">Fornecimento e instalação de porta de madeira 80x210x3cm, folheada nas duas faces, inclusive aduelas de 15cm, alizares, conjunto de ferragem, materiais, mão-de-obra e equipamentos.        (administração , curativo e vacina)                                                                                         </t>
  </si>
  <si>
    <t>17.018.0116-A</t>
  </si>
  <si>
    <t>UMA DEMAO ADICIONAL DE PINTURA DE ACABAMENTO NOS SERVICOS DOS ITENS 17.018.0110 OU 17.018.0115 (OBS.:3%-DESGASTE DE FERRAMENTAS E EPI).</t>
  </si>
  <si>
    <t>SI000087878</t>
  </si>
  <si>
    <t>CHAPISCO APLICADO EM ALVENARIAS E ESTRUTURAS DE CONCRETO INTERNAS, COM COLHER DE PEDREIRO.  ARGAMASSA TRAÇO 1:3 COM PREPARO MANUAL. AF_06/2014</t>
  </si>
  <si>
    <t>UMA DEMAO ADICIONAL DE PINTURA TINTA LATEX STANDARD PARA EXTERIOR/INTERIOR SEMIBRILHANTE BRANCA OU COLORIDA (MURO)</t>
  </si>
  <si>
    <t>ESTRUTURA</t>
  </si>
  <si>
    <t xml:space="preserve">ESTRUTURA </t>
  </si>
  <si>
    <t>Local: Rua Jarbas Cançado Trindade, s/nº - Bairro Santa Rita de Fátima - Barra Mansa - RJ</t>
  </si>
  <si>
    <t>APROVAÇÃO: SMPU</t>
  </si>
  <si>
    <t>TOTAL S/ BDI</t>
  </si>
  <si>
    <t>PLACA DE IDENTIFICACAO DE OBRA PUBLICA,INCLUSIVE PINTURA E SUPORTES DE MADEIRA.FORNECIMENTO E COLOCACAO (OBS.:3% - DESGASTE DE FERRAMENTAS E EPI).</t>
  </si>
  <si>
    <t>PINUS, EM PECAS DE 7,50X7,50CM (3"X3")</t>
  </si>
  <si>
    <t>TINTA A OLEO BRILHANTE, P/USO GERAL, EMINTERIORES E EXTERIORES</t>
  </si>
  <si>
    <t>CHAPA DE ACO CARBONO, GALVANIZADA, PARAUSOS GERAIS, TAMANHO PADRAO, PRECO DE REVENDEDOR, COM ESPESSURA DE 0,5MM</t>
  </si>
  <si>
    <t>19.004.0001-C CAMINHAO CARROC. FIXA, 3,5T (CP)</t>
  </si>
  <si>
    <t>ARRANCAMENTO DE PORTAS,JANELAS E CAIXILHOS DE AR CONDICIONADO OU OUTROS (OBS.:3%-DESGASTE DE FERRAMENTAS E EPI).</t>
  </si>
  <si>
    <t>ARRANCAMENTO DE APARELHOS SANITARIOS (OBS.:3%-DESGASTE DE FERRAMENTAS E EPI).</t>
  </si>
  <si>
    <t>ARRANCAMENTO DE BANCADA DE PIA/LAVATORIO OU BANCA SECA DE ATE 1,00M DE ALTURA E ATE 0,80M DE LARGURA (OBS.:3%-DESGASTE DE FERRAMENTAS E EPI).</t>
  </si>
  <si>
    <t>DEMOLICAO MANUAL DE PISO CIMENTADO,EXCLUSIVE A BASE DE CONCRETO,INCLUSIVE EMPILHAMENTO LATERAL DENTRO DO CANTEIRO DE SER VICO (OBS.:3%-DESGASTE DE FERRAMENTAS E EPI).</t>
  </si>
  <si>
    <t>DEMOLICAO DE REVESTIMENTO EM AZULEJOS,CERAMICAS OU MARMORE EM PAREDE,EXCLUSIVE A CAMADA DE ASSENTAMENTO (OBS.:3%-DESGASTE DE FERRAMENTAS E EPI).</t>
  </si>
  <si>
    <t>DEMOLICAO DE REVESTIMENTO EM ARGAMASSA DE CIMENTO E AREIA EM PAREDE (OBS.:3%-DESGASTE DE FERRAMENTAS E EPI).</t>
  </si>
  <si>
    <t>DEMOLICAO MANUAL DE CONCRETO SIMPLES COM EMPILHAMENTO LATERAL DENTRO DO CANTEIRO DE SERVICO (OBS.:3%-DESGASTE DE FERRAMENTAS E EPI).</t>
  </si>
  <si>
    <t>DEMOLIÇÃO DE PILARES E VIGAS EM CONCRETO ARMADO, DE FORMA MECANIZADA COM MARTELETE, SEM REAPROVEITAMENTO. AF_12/2017</t>
  </si>
  <si>
    <t>CABO DE ACO GALVANIZADO, DIAMETRO 9,53 MM (3/8"), COM ALMA DE FIBRA 6 X 25 F  (COLETADO CAIXA)</t>
  </si>
  <si>
    <t>REMOCAO CUIDADOSA DE PEITORIS,SOLEIRAS OU CHAPINS (OBS.:3%-DESGASTE DE FERRAMENTAS E EPI).</t>
  </si>
  <si>
    <t>ARRANCAMENTO DE APARELHOS DE ILUMINACAO, INCLUSIVE LAMPADAS (OBS.:3%-DESGASTE DE FERRAMENTAS E EPI).</t>
  </si>
  <si>
    <t>REMOCAO DE COBERTURA DE TELHAS DE FIBROCIMENTO CONVENCIONAL,ONDULADA,EXCLUSIVE MADEIRAMENTO,MEDIDA PELA AREA REAL DA COB ERTURA (OBS.:3%-DESGASTE DE FERRAMENTAS E EPI).</t>
  </si>
  <si>
    <t>REMOCAO DE MADEIRAMENTO DE TELHADO EM TELHA CERAMICA (OBS.:3%-DESGASTE DE FERRAMENTAS E EPI).</t>
  </si>
  <si>
    <t>ALVENARIA DE BLOCOS DE CONCRETO CELULAR,MEDINDO 10X30X60CM,ASSENTES COM ARGAMASSA DE CIMENTO,CAL HIDRATADA E AREIA,NO TR ACO 1:2:9,EM PAREDES DE 10CM DE ESPESSURA E MEDIDA PELA AREAREAL (OBS.:3%-DESGASTE DE FERRAMENTAS E EPI).</t>
  </si>
  <si>
    <t>CIMENTO PORTLAND CP II 32, EM SACO DE 50KG</t>
  </si>
  <si>
    <t>REVESTIMENTO EXTERNO,DE UMA VEZ,COM ARGAMASSA DE CIMENTO,SAIBRO MACIO E AREIA FINA,NO TRACO 1:3:3,COM ESPESSURA DE 2,5CM ,INCLUSIVE CHAPISCO DE CIMENTO E AREIA,NO TRACO 1:3 (OBS.:3%-DESGASTE DE FERRAMENTAS E EPI).</t>
  </si>
  <si>
    <t>07.007.0020-B ARGAMASSA CIM.,SAIBRO,AREIA 1:3:3,PREPARO MECANICO</t>
  </si>
  <si>
    <t>13.030.0255-6 ALTERADO</t>
  </si>
  <si>
    <t>13.022.0029-6 MODIFICADO</t>
  </si>
  <si>
    <t>PROTETOR DE CANTOS,PRODUZIDO COM ESTRUTURA INTERNA DE SUPORTE EM ALUMINIO E PVC,COM REFORCOS EM NEOPRENE E EXTERNAMENTE COM CAPAS DE VINIL DE ALTO IMPACTO COM ACABAMENTO TEXTURIZADO,NAS CORES PADRONIZADAS DO FABRICANTE,BATE-MACAS TIPO CORRI MAO,COM ALTURA DE 15CM.FORNECIMENTO E COLOCACAO (OBS.:3%-DESGASTE DE FERRAMENTAS E EPI).</t>
  </si>
  <si>
    <t>11238</t>
  </si>
  <si>
    <t>PROTETOR CANTOS,PROD.EST.INT.SUP.ALUM.PVC,REF.NEOPR.EXT.C/CAPAS VIN.ALTO IMP.ACAB.TEX.COR PAD.FAB.BATE-MACAS,T.CORR.15CM</t>
  </si>
  <si>
    <t>SOLEIRA EM GRANITO CINZA ANDORINHA,ESPESSURA DE 3CM,COM 2 P LIMENTOS,LARGURA DE 15CM,ASSENTADO COM ARGAMASSA DE CIMENTO, SAIBRO E AREIA, NO TRACO 1:2:2, E REJUNTAMENTO COM CIMENTOBRANCO E CORANTE (OBS.:3%-DESGASTE DE FERRAMENTAS E EPI).</t>
  </si>
  <si>
    <t>14.001.0215-6 MODIFICADO</t>
  </si>
  <si>
    <t>SOLEIRA EM GRANITO CINZA ANDORINHA,ESPESSURA DE 3CM,COM 2 POLIMENTOS,LARGURA DE 25CM,EXCLUSIVE ARGAMASSA E REJUNTAMENTO (OBS.:3%-DESGASTE DE FERRAMENTAS E EPI).</t>
  </si>
  <si>
    <t>PEITORIL EM GRANITO CINZA ANDORINHA,ESPESSURA DE 2CM,LARGURA 15 A 18CM,ASSENTADO COM NATA DE CIMENTO SOBRE ARGAMASSA DE CIMENTO,SAIBRO E AREIA,NO TRACO 1:3:3 E REJUNTAMENTO COM CIMENTO BRANCO (OBS.:3%-DESGASTE DE FERRAMENTAS E EPI).</t>
  </si>
  <si>
    <t>PEITORIL GRANITO CINZA ANDORINHA, 18X2CM</t>
  </si>
  <si>
    <t>PEITORIL EM GRANITO CINZA ANDORINHA,ESPESSURA DE 2CM,LARGURA DE 28CM,ASSENTADO COM NATA DE CIMENTO SOBRE ARGAMASSA DE CI MENTO,SAIBRO E AREIA,NO TRACO 1:3:3 E REJUNTAMENTO COM CIMENTO BRANCO (OBS.:3%-DESGASTE DE FERRAMENTAS E EPI).</t>
  </si>
  <si>
    <t>REVESTIMENTO DE PAREDES OU MUROS COM FILETES DERIVADOS DE PEDRAS COM ESPESSURA DE 1,5 A 4,0CM.FORNECIMENTO E COLOCACAO (OBS.:3%-DESGASTE DE FERRAMENTAS E EPI).</t>
  </si>
  <si>
    <t>VIDRO TEMPERADO INCOLOR,10MM DE ESPESSURA,PARA PORTAS OU PAINEIS FIXOS,EXCLUSIVE FERRAGENS.FORNECIMENTO E COLOCACAO</t>
  </si>
  <si>
    <t>VIDRO TEMPERADO INCOLOR, COLOCADO, COM ESPESSURA DE 10MM</t>
  </si>
  <si>
    <t>FERRAGENS PARA PORTAS(CONJUNTO COMPLETO) DE 2 FOLHAS DE VIDRO TEMPERADO DE 10MM,CONSTANDO DE FORNECIMENTO SEM COLOCACAO (ESTA INCLUIDA NO FORNECIMENTO E COLOCACAO DO VIDRO),EXCLUSIVE MOLA HIDRAULICA DE PISO(VIDE ITEM 14.007.0190)</t>
  </si>
  <si>
    <t>BATENTE DE PORTA, PARA VIDRO TEMPERADO DE 10MM</t>
  </si>
  <si>
    <t>PIVO, PARA VIDRO TEMPERADO DE 10MM</t>
  </si>
  <si>
    <t>CONTRA PINO DE PISO, PARA VIDRO TEMPERADO DE 10MM</t>
  </si>
  <si>
    <t>MANCAL SUPERIOR, PARA VIDRO TEMPERADO DE10MM</t>
  </si>
  <si>
    <t>TRINCO DE PISO, PARA VIDRO TEMPERADO DE10MM</t>
  </si>
  <si>
    <t>CONTRA-FECHADURA, PARA VIDRO TEMPERADO DE 10MM</t>
  </si>
  <si>
    <t>FECHADURA DE CENTRO, PARA VIDRO TEMPERADO, DE 10MM</t>
  </si>
  <si>
    <t>DOBRADICA SUPERIOR, PARA VIDRO TEMPERADO, DE 10MM</t>
  </si>
  <si>
    <t>DOBRADICA INFERIOR, PARA VIDRO TEMPERADO, DE 10MM</t>
  </si>
  <si>
    <t>14.007.0170-A</t>
  </si>
  <si>
    <t>ADUELA EM MADEIRA DE LEI,DE 14X3CM,COM 3,5CM DE REBAIXO.FORNECIMENTO E COLOCACAO (OBS.:3%-DESGASTE DE FERRAMENTAS E EPI).</t>
  </si>
  <si>
    <t>ALIZAR EM MADEIRA DE LEI,DE 5X2CM.FORNECIMENTO E COLOCACAO (OBS.:3%-DESGASTE DE FERRAMENTAS E EPI).</t>
  </si>
  <si>
    <t>ALIZAR EM MADEIRA DE LEI, DE (5X2)CM, GRUPO V</t>
  </si>
  <si>
    <t>PORTA LISA, SEMI-OCA PARA PINTURA, DE (90X210X3,5)CM</t>
  </si>
  <si>
    <t>PROTECAO PARA PORTA EM ACO ESCOVADO,CHAPA Nø14,COM 30CM DE ALTURA.FORNECIMENTO E COLOCACAO (OBS.:3%-DESGASTE DE FERRAMENTAS E EPI 15%-PERDAS E DEMAIS MATERIAIS NECESSARIOS).</t>
  </si>
  <si>
    <t>PORTINHOLA PARA ALCAPAO,CISTERNA OU CAIXA D'AGUA ELEVADA,EM CHAPA DE FERRO GALVANIZADO N§16,ATE 0,80M DE ALTURA,COM GUAR NICAO E ALCA PARA FECHAMENTO A CADEADO,EXCLUSIVE ESTE.FORNECIMENTO E COLOCACAO (OBS.:3%-DESGASTE DE FERRAMENTAS E EPI 15%-PERDAS E DEMAIS MATERIAIS NECESSARIOS).</t>
  </si>
  <si>
    <t>02565</t>
  </si>
  <si>
    <t>BANCA DE ACO INOXIDAVEL, CHAPA 18/304, COM UMA CUBA DE (500X400X200)MM, CHAPA 20/304, DE (0,55X2,00)M</t>
  </si>
  <si>
    <t>CUBA DE ACO INOXIDAVEL DE 500X400X200MM,EM CHAPA 20.304,VALVULA DE ESCOAMENTO TIPO AMERICANA 1623,SIFAO 1680 1.1/2"X1.1/ 2",EXCLUSIVE TORNEIRA.FORNECIMENTO E COLOCACAO (OBS.:3%-DESGASTE DE FERRAMENTAS E EPI).</t>
  </si>
  <si>
    <t xml:space="preserve"> 18.016.0040-6 MODIFICADO</t>
  </si>
  <si>
    <t>18.016.0030-6 MODIFICADO</t>
  </si>
  <si>
    <t>14009</t>
  </si>
  <si>
    <t>TORNEIRA DE FECHAMENTO AUTOMATICO, PARALAVATORIO, DE PAREDE, ANTI-VANDALISMO, DE 85MM, ACABAMENTO CROMADO</t>
  </si>
  <si>
    <t>CABIDE SIMPLES,DE SOBREPOR,EM METAL CROMADO.FORNECIMENTO E COLOCACAO (OBS.:3%-DESGASTE DE FERRAMENTAS E EPI).</t>
  </si>
  <si>
    <t>PAPELEIRA,SEM PROTETOR,DE SOBREPOR,EM METAL CROMADO.FORNECIMENTO E COLOCACAO (OBS.:3%-DESGASTE DE FERRAMENTAS E EPI).</t>
  </si>
  <si>
    <t>30342</t>
  </si>
  <si>
    <t>12.002.0065-B ALVENARIA P/ CX.ENTERRADA, 0;80M (1VEZ)</t>
  </si>
  <si>
    <t>ALVENARIA PARA CAIXAS ENTERRADAS,ATE 0,80M DE PROFUNDIDADE,COM BLOCOS DE CONCRETO DE 10X20X40CM,COM ARGAMASSA DE CIMENTO E AREIA,NO TRACO 1:4 E CONCRETO 20MPA,PARA PREENCHIMENTO DOS FUROS DOS MESMOS,EM PAREDES DE MEIA VEZ(0,10M) (OBS.:3%-DESGASTE DE FERRAMENTAS E EPI).</t>
  </si>
  <si>
    <t>BANCA SECA DE ACO INOXIDAVEL,COM 0,55M DE LARGURA,ATE 3,00M DE COMPRIMENTO,EM CHAPA 18.304,SOBRE APOIOS DE ALVENARIA DE MEIA VEZ E VERGA DE CONCRETO,SEM REVESTIMENTO.FORNECIMENTO ECOLOCACAO (OBS.:3%-DESGASTE DE FERRAMENTAS E EPI).</t>
  </si>
  <si>
    <t>18.016.0045-5 MODIFICADO</t>
  </si>
  <si>
    <t>INSTALAÇÕES ELÉTRICA</t>
  </si>
  <si>
    <t>INSTALACAO DE PONTO DE LUZ,EMBUTIDO NA LAJE,EQUIVALENTE A 2 VARAS DE ELETRODUTO DE PVC RIGIDO DE 3/4",12,00M DE FIO 2,5M M2,CAIXAS,CONEXOES,LUVAS,CURVA E INTERRUPTOR DE EMBUTIR COMPLACA FOSFORESCENTE,INCLUSIVE ABERTURA E FECHAMENTO DE RASGO EM ALVENARIA (OBS.:3%-DESGASTE DE FERRAMENTAS E EPI).</t>
  </si>
  <si>
    <t>INSTALACAO DE UM CONJUNTO DE 4 PONTOS DE LUZ,EMBUTIDO NA LAJE,EQUIVALENTE A 7 VARAS DE ELETRODUTO DE PVC RIGIDO DE 3/4", 50,00M DE FIO 2,5MM2,CAIXAS,CONEXOES,LUVAS,CURVA E INTERRUPTOR DE EMBUTIR COM PLACA FOSFORESCENTE,INCLUSIVE ABERTURA E F ECHAMENTO DE RASGO EM ALVENARIA (OBS.:3%-DESGASTE DE FERRAMENTAS E EPI).</t>
  </si>
  <si>
    <t>INTERRUPTOR DE EMBUTIR, FOSFORESCENTE, COM PLACA, DE 2 TECLAS PARALELAS</t>
  </si>
  <si>
    <t>INSTALACAO DE PONTO DE TOMADA,EMBUTIDO NA ALVENARIA,EQUIVALENTE A 2 VARAS DE ELETRODUTO DE PVC RIGIDO DE 3/4",18,00M DE FIO 2,5MM2,CAIXAS,CONEXOES E TOMADA DE EMBUTIR,2P+T,10A,PADRAO BRASILEIRO,COM PLACA FOSFORESCENTE,INCLUSIVE ABERTURA E F ECHAMENTO DE RASGO EM ALVENARIA (OBS.:3%-DESGASTE DE FERRAMENTAS E EPI).</t>
  </si>
  <si>
    <t>TOMADA ELETRICA 2P+T, 10A/250V, PADRAO BRASILEIRO, DE EMBUTIR, COM PLACA 4"X2"</t>
  </si>
  <si>
    <t>INSTALACAO DE UM CONJUNTO DE 2 TOMADAS,EMBUTIDO NA ALVENARIA,EQUIVALENTE A 3 VARAS DE ELETRODUTO DE PVC RIGIDO DE 3/4",2 7,00M DE FIO 2,5MM2,CAIXAS,CONEXOES E TOMADAS DE EMBUTIR 2P+T,10A,COM PLACA FOSFORESCENTE,INCLUSIVE ABERTURA E FECHAMENT O DE RASGO EM ALVENARIA (OBS.:3%-DESGASTE DE FERRAMENTAS E EPI).</t>
  </si>
  <si>
    <t>INSTALACAO DE UM CONJUNTO DE 3 TOMADAS,EMBUTIDO NA ALVENARIA,EQUIVALENTE A 4 VARAS DE ELETRODUTO DE PVC RIGIDO DE 3/4",3 7,00M DE FIO 2,5MM2,CAIXAS,CONEXOES E TOMADAS DE EMBUTIR 2P+T,10A,COM PLACA FOSFORESCENTE,INCLUSIVE ABERTURA E FECHAMENT O DE RASGO EM ALVENARIA (OBS.:3%-DESGASTE DE FERRAMENTAS E EPI).</t>
  </si>
  <si>
    <t>INSTALACAO DE UM CONJUNTO DE 4 TOMADAS,EMBUTIDO NA ALVENARIA,EQUIVALENTE A 5 VARAS DE ELETRODUTO DE PVC RIGIDO DE 3/4",4 5,00M DE FIO 2,5MM2,CAIXAS,CONEXOES E TOMADAS DE EMBUTIR 2P+T,10A,COM PLACA FOSFORESCENTE,INCLUSIVE ABERTURA E FECHAMENT O DE RASGO EM ALVENARIA (OBS.:3%-DESGASTE DE FERRAMENTAS E EPI).</t>
  </si>
  <si>
    <t>LUMINARIA DE SOBREPOR,FIXADA EM LAJE OU FORRO,TIPO CALHA,CHANFRADA OU PRISMATICA,COMPLETA,EQUIPADA COM REATOR ELETRONICO DE ALTO FATOR DE POTENCIA E LAMPADA FLUORESCENTE DE 2X40W.FORNECIMENTO E COLOCACAO (OBS.:3%-DESGASTE DE FERRAMENTAS E EPI).</t>
  </si>
  <si>
    <t>CALHA CHANFRADA EM CHAPA DE ACO PARA LUMINARIA DE SOBREPOR, PARA 2 LAMPADAS TUBULARES DE 1200MM</t>
  </si>
  <si>
    <t>SUPORTE TIPO PE DE GALINHA PARA FIXACAODE LUMINARIAS</t>
  </si>
  <si>
    <t>REATOR ELETRONICO DE ALTO FATOR DE POTENCIA (AFT&gt;0,92), PARA LAMPADAS FLUORESCENTES - 40W - DUPLO</t>
  </si>
  <si>
    <t>04312</t>
  </si>
  <si>
    <t>LAMPADA FLUORESCENTE TUBULAR, DE 40W</t>
  </si>
  <si>
    <t>18.027.0315-6 MODIFICADO</t>
  </si>
  <si>
    <t>LUMINARIA DE SOBREPOR,FIXADA EM LAJE OU FORRO,TIPO CALHA,CHANFRADA OU PRISMATICA,COMPLETA,EQUIPADA COM REATOR ELETRONICO DE ALTO FATOR DE POTENCIA E LAMPADA FLUORESCENTE DE 1X20W.FORNECIMENTO E COLOCACAO (OBS.:3%-DESGASTE DE FERRAMENTAS E EPI).</t>
  </si>
  <si>
    <t>14669</t>
  </si>
  <si>
    <t>CALHA CHANFRADA EM CHAPA DE ACO PARA LUMINARIA DE SOBREPOR, PARA 1 LAMPADA TUBULAR DE 600MM</t>
  </si>
  <si>
    <t>REATOR ELETRONICO DE ALTO FATOR DE POTENCIA (AFT&gt;0,92), PARA LAMPADAS FLUORESCENTES - 20W - SIMPLES</t>
  </si>
  <si>
    <t>04311</t>
  </si>
  <si>
    <t>LAMPADA FLUORESCENTE TUBULAR, DE 20W</t>
  </si>
  <si>
    <t>18.027.0302-6 MODIFICADO</t>
  </si>
  <si>
    <t>MADEIRAMENTO PARA COBERTURA EM TELHAS ONDULADAS,CONSTITUIDO DE PECAS DE 3"X3" E 3"X4.1/2",EM MADEIRA SERRADA,SEM TESOURA OU PONTALETE,MEDIDO PELA AREA REAL DO MADEIRAMENTO.FORNECIMENTO E COLOCACAO (OBS.:3%-DESGASTE DE FERRAMENTAS E EPI).</t>
  </si>
  <si>
    <t>COBERTURA EM TELHAS ONDULADAS DE CIMENTO,SEM AMIANTO,REFORCADO COM FIOS SINTETICOS (CRFS),COM ESPESSURA DE 6MM,EXCLUSIVE MADEIRAMENTO.FORNECIMENTO E COLOCACAO (OBS.:3%-DESGASTE DE FERRAMENTAS E EPI).</t>
  </si>
  <si>
    <t>CALHA DE BEIRAL,SEMI-CIRCULAR DE PVC,DN 125,EXCLUSIVE CONDUTORES (VIDE ITEM 16.004.0055).FORNECIMENTO E COLOCACAO (OBS.:3%-DESGASTE DE FERRAMENTAS E EPI).</t>
  </si>
  <si>
    <t>CONDUTOR PARA CALHA DE BEIRAL DE PVC,DN 88,INCLUSIVE CONEXOES.FORNECIMENTO E COLOCACAO (OBS.:3%-DESGASTE DE FERRAMENTAS E EPI).</t>
  </si>
  <si>
    <t>ESPELHO OU CHAPIM EM GRANITO CINZA ANDORINHA,20X3CM,SEM ACABAMENTO,ASSENTADO COMO NO ITEM 13.348.0030 (OBS.:3%-DESGASTE DE FERRAMENTAS E EPI).</t>
  </si>
  <si>
    <t>PREPARO DE SUPERFICIES NOVAS,COM REVESTIMENTO LISO,INCLUSIVE LIXAMENTO,LIMPEZA,UMA DEMAO DE SELADOR ACRILICO,UMA DEMAO D E MASSA CORRIDA OU ACRILICA E NOVO LIXAMENTO COM REMOCAO DOPO RESIDUAL (OBS.:3%-DESGASTE DE FERRAMENTAS E EPI).</t>
  </si>
  <si>
    <t>PINTURA COM ESMALTE SINTETICO ALQUIDICO,PARA INTERIOR,ALTO BRILHO,BRILHANTE,ACETINADO OU FOSCO,ACABAMENTO PADRAO,EM DUAS DEMAOS SOBRE SUPERFICIE PREPARADA CONFORME O ITEM 17.017.0010,EXCLUSIVE ESTE PREPARO (OBS.:3%-DESGASTE DE FERRAMENTAS E EPI).</t>
  </si>
  <si>
    <t>PINTURA INTERNA OU EXTERNA SOBRE MADEIRA NOVA,COM ESMALTE SINTETICO ALQUIDICO,BRILHANTE OU ACETINADA EM DUAS DEMAOS SOBR E SUPERFICIE PREPARADA COM MATERIAL DA MESMA LINHA,CONFORMEO ITEM 17.017.0100,EXCLUSIVE ESTE PREPARO (OBS.:3%-DESGASTE DE FERRAMENTAS E EPI).</t>
  </si>
  <si>
    <t>PREPARO DE MADEIRA NOVA,INCLUSIVE LIXAMENTO,LIMPEZA,UMA DEMAO DE VERNIZ ISOLANTE INCOLOR,DUAS DEMAOS DE MASSA PARA MADEI RA,LIXAMENTO E REMOCAO DE PO,E UMA DEMAO DE FUNDO SINTETICONIVELADOR (OBS.:3%-DESGASTE DE FERRAMENTAS E EPI).</t>
  </si>
  <si>
    <t>PINTURA INTERNA OU EXTERNA SOBRE CONCRETO APICOADO,COM TINTA AQUOSA A BASE DE EPOXI INCOLOR OU EM CORES,INCLUSIVE LIMPEZ A,E DUAS DEMAOS DE ACABAMENTO (OBS.:3%-DESGASTE DE FERRAMENTAS E EPI).</t>
  </si>
  <si>
    <t>CARGA E DESCARGA MECANICA DE AGREGADOS,TERRA,ESCOMBROS,MATERIAL A GRANEL,UTILIZANDO CAMINHAO BASCULANTE A OLEO DIESEL,CO M CAPACIDADE UTIL DE 8T,CONSIDERANDO O TEMPO PARA CARGA,DESCARGA E MANOBRA,EXCLUSIVE DESPESAS COM A PA-CARREGADEIRA EMPR EGADA NA CARGA,COM A CAPACIDADE DE 1,50M3</t>
  </si>
  <si>
    <t>19.004.0012-E CAMINHAO BASCUL. NO TOCO, 5M3 (CI)</t>
  </si>
  <si>
    <t>19.004.0012-C CAMINHAO BASCUL. NO TOCO, 5M3 (CP)</t>
  </si>
  <si>
    <t>TRANSPORTE DE CARGA DE QUALQUER NATUREZA,EXCLUSIVE AS DESPESAS DE CARGA E DESCARGA,TANTO DE ESPERA DO CAMINHAO COMO DO S ERVENTE OU EQUIPAMENTO AUXILIAR,A VELOCIDADE MEDIA DE 30KM/H,EM CAMINHAO BASCULANTE A OLEO DIESEL,COM CAPACIDADE UTIL DE 8T</t>
  </si>
  <si>
    <t>TRANSPORTE DE CARGA DE QUALQUER NATUREZA,EXCLUSIVE AS DESPESAS DE CARGA E DESCARGA,TANTO DE ESPERA DO CAMINHAO COMO DO S ERVENTE OU EQUIPAMENTO AUXILIAR,A VELOCIDADE MEDIA DE 30KM/H,EM CAMINHAO DE CARROCERIA FIXA A OLEO DIESEL,COM CAPACIDADE UTIL DE 7,5T (OBS.:3%-DESGASTE DE FERRAMENTAS E EPI).</t>
  </si>
  <si>
    <t>ATERRO COM MATERIAL DE 1¦CATEGORIA,COMPACTADO MANUALMENTE EM CAMADAS DE 20CM,ATE UMA ALTURA MAXIMA DE 80CM,PARA SUPORTE DE CAMADA DE CONCRETO,INCLUSIVE DOIS TIROS DE PA,ESPALHAMENTO E REGA,EXCLUSIVE FORNECIMENTO DA TERRA (OBS.:3%-DESGASTE DE FERRAMENTAS E EPI).</t>
  </si>
  <si>
    <t>MATERIAL DE 1¦ CATEGORIA PARA ATERROS,COMPREENDENDO:ESCAVACAO,CARGA,TRANSPORTE A 10KM EM CAMINHAO BASCULANTE E DESCARGA, CONSIDERANDO O VOLUME NECESSARIO A EXECUCAO DE 1,00M3 DE MATERIAL COMPACTADO (OBS.:3%-DESGASTE DE FERRAMENTAS E EPI).</t>
  </si>
  <si>
    <t>SARRAFO DE MADEIRA NAO APARELHADA *2,5 X 7,5* CM (1 X 3 ") PINUS, MISTA OU EQUIVALENTE DA REGIAO</t>
  </si>
  <si>
    <t>PISO CIMENTADO,COM 1,5CM DE ESPESSURA,COM ARGAMASSA DE CIMENTO E AREIA,NO TRACO 1:3,ALISADO A COLHER, SOBRE BASE EXISTEN TE (OBS.:3%-DESGASTE DE FERRAMENTAS E EPI).</t>
  </si>
  <si>
    <t>ALVENARIA DE TIJOLOS CERAMICOS FURADOS 10X20X30CM,COMPLEMENTADA COM 6% DE TIJOLOS DE 10X20X20CM,ASSENTES COM ARGAMASSA D E CIMENTO E SAIBRO,NO TRACO 1:8,EM PAREDES DE MEIA VEZ(0,10M) DE SUPERFICIE CORRIDA,ATE 3,00M DE ALTURA E MEDIDA PELA AR EA REAL (OBS.:3%-DESGASTE DE FERRAMENTAS E EPI).</t>
  </si>
  <si>
    <t>EMBOCO INTERNO COM ARGAMASSA DE CIMENTO,CAL HIDRATADA ADITIVADA E AREIA,NO TRACO 1:1:8,COM ESPESSURA DE 2CM,EXCLUSIVE CH APISCO (OBS.:3%-DESGASTE DE FERRAMENTAS E EPI).</t>
  </si>
  <si>
    <t>PINTURA INTERNA OU EXTERNA SOBRE FERRO,COM ESMALTE SINTETICO BRILHANTE OU ACETINADO APOS LIXAMENTO,LIMPEZA,DESENGORDURAM ENTO,UMA DEMAO DE FUNDO ANTICORROSIVO NA COR LARANJA DE SECAGEM RAPIDA E DUAS DEMAOS DE ACABAMENTO (OBS.:3%-DESGASTE DE FERRAMENTAS E EPI).</t>
  </si>
  <si>
    <t>CARGA E DESCARGA MANUAL DE MATERIAL QUE EXIJA O CONCURSO DE MAIS DE UM SERVENTE PARA CADA PECA:VERGALHOES,VIGAS DE MADEI RA,CAIXAS E MEIOS-FIOS,EM CAMINHAO DE CARROCERIA FIXA A OLEODIESEL,COM CAPACIDADE UTIL DE 7,5T,INCLUSIVE O TEMPO DE CAR GA,DESCARGA E MANOBRA (OBS.:3%-DESGASTE DE FERRAMENTAS E EPI).</t>
  </si>
  <si>
    <t>ATUALIZAÇÃO DATA BASE: Eng° Patrick Suckow</t>
  </si>
  <si>
    <t>TRANSPORTE E BOTA FORA</t>
  </si>
  <si>
    <t>0037398</t>
  </si>
  <si>
    <t>REVESTIMENTO DE PAREDES COM CERAMICA BRANCA,CINZA OU BEGE,COM MEDIDAS EM TORNO DE 10X10CM,TELADA,PLACA 30X30CM,ASSENTE C OM ARGAMASSA COLANTE,REJUNTAMENTO COM ARGAMASSA INDUSTRIALIZADA,EXCLUSIVE CHAPISCO E EMBOCO (OBS.:3%-DESGASTE DE FERRAMENTAS E EPI).</t>
  </si>
  <si>
    <t>LADRILHO CERAMICO, COM MEDIDAS EM TORNODE (10X10)CM,NAS CORES BRANCA , CINZA OUBEGE</t>
  </si>
  <si>
    <t>SI00000097632</t>
  </si>
  <si>
    <t>SI00000088316</t>
  </si>
  <si>
    <t>SI00000088256</t>
  </si>
  <si>
    <t>SI00000097627</t>
  </si>
  <si>
    <t>0042655</t>
  </si>
  <si>
    <t>SI00000088309</t>
  </si>
  <si>
    <t>SI00000005952</t>
  </si>
  <si>
    <t>SI00000005952 MARTELETE OU ROMPEDOR PNEUMÁTICO MANUAL, 28 KG, COM SILENCIADOR - CHI DIURNO. AF_07/2016</t>
  </si>
  <si>
    <t>SI00000005795</t>
  </si>
  <si>
    <t>SI00000005795 MARTELETE OU ROMPEDOR PNEUMÁTICO MANUAL, 28 KG, COM SILENCIADOR - CHP DIURNO. AF_07/2016</t>
  </si>
  <si>
    <t>SI00000097661</t>
  </si>
  <si>
    <t>SI00000088264</t>
  </si>
  <si>
    <t>30182</t>
  </si>
  <si>
    <t>SI00000087260</t>
  </si>
  <si>
    <t>0037595</t>
  </si>
  <si>
    <t>0034357</t>
  </si>
  <si>
    <t>0021108</t>
  </si>
  <si>
    <t>SI00000087251</t>
  </si>
  <si>
    <t>SI00000087263</t>
  </si>
  <si>
    <t>REVESTIMENTO CERÂMICO PARA PISO COM PLACAS TIPO PORCELANATO DE DIMENSÕES 60X60 CM APLICADA EM AMBIENTES DE ÁREA MAIOR QUE 10 M². AF_06/2014</t>
  </si>
  <si>
    <t>0038195</t>
  </si>
  <si>
    <t>PISO PORCELANATO, BORDA RETA, EXTRA, FORMATO MAIOR QUE 2025 CM2</t>
  </si>
  <si>
    <t>revestimento de piso com porcelanato retificado, inclusive camada regularizadora, assentamento, rejunte epoxi, 60x60</t>
  </si>
  <si>
    <t>SI00000072119</t>
  </si>
  <si>
    <t>0010506</t>
  </si>
  <si>
    <t>0010498</t>
  </si>
  <si>
    <t>SI00000088325</t>
  </si>
  <si>
    <t>PORTA DE MADEIRA DE LEI EM COMPENSADO,DE 70X210X3,5CM,FOLHEADA NAS 2 FACES,EXCLUSIVE FERRAGENS,ADUELA E ALIZARES.FORNECI MENTO E COLOCACAO (OBS.:3%-DESGASTE DE FERRAMENTAS E EPI).</t>
  </si>
  <si>
    <t>ADUELA EM MADEIRA DE LEI, DE (14X3)CM, COM REBAIXO DE 3,5CM, GRUPO V</t>
  </si>
  <si>
    <t>PORTA DE MADEIRA DE LEI EM COMPENSADO,DE 90X210X3,5CM,FOLHEADA NAS 2 FACES,EXCLUSIVE FERRAGENS,ADUELA E ALIZARES.FORNECI MENTO E COLOCACAO (OBS.:3%-DESGASTE DE FERRAMENTAS E EPI).</t>
  </si>
  <si>
    <t>PORTA DE MADEIRA DE LEI EM COMPENSADO,DE 80X210X3,5CM,FOLHEADANAS 2 FACES,EXCLUSIVE FERRAGENS,ADUELA E ALIZARES.FORNECIM ENTO E COLOCACAO (OBS.:3%-DESGASTE DE FERRAMENTAS E EPI).</t>
  </si>
  <si>
    <t>13104</t>
  </si>
  <si>
    <t>SI00,74125/002</t>
  </si>
  <si>
    <t>0011186</t>
  </si>
  <si>
    <t>0007334</t>
  </si>
  <si>
    <t>0001360</t>
  </si>
  <si>
    <t>0000587</t>
  </si>
  <si>
    <t>SI00000088239</t>
  </si>
  <si>
    <t>SI00000086914</t>
  </si>
  <si>
    <t>0013417</t>
  </si>
  <si>
    <t>0003146</t>
  </si>
  <si>
    <t>SI00000088267</t>
  </si>
  <si>
    <t>CAIXA DE PASSAGEM EM ALVENARIA DE TIJOLO MACICO(7X10X20CM),EM PAREDES DE UMA VEZ(0,20M),DE 0,60X0,60X0,80M,UTILIZANDO AR GAMASSA DE CIMENTO E AREIA,NO TRACO 1:4 EM VOLUME,COM FUNDOEM CONCRETO SIMPLES PROVIDO DE CALHA INTERNA,SENDO AS PAREDE S REVESTIDAS INTERNAMENTE COM A MESMA ARGAMASSA,INCLUSIVE TAMPA DE CONCRETO ARMADO,15MPA,COM ESPESSURA DE 10CM (OBS.:3% - DESGASTE DE FERRAMENTAS E EPI).</t>
  </si>
  <si>
    <t>TAMPAO MISTO (F§F§ E CONCRETO,EXCLUSIVE ESTE),TIPO LEVE,DE 0,60M DE DIAMETRO,PESO SEM CONCRETO 36KG E TOTAL DE 76KG,CONF ORME PROJETO CEDAE,ASSENTADO COM ARGAMASSA DE CIMENTO E AREIA,NO TRACO 1:4 EM VOLUME.FORNECIMENTO E ASSENTAMENTO (OBS.:3% - DESGASTE DE FERRAMENTAS E EPI).</t>
  </si>
  <si>
    <t>SUPORTE P/LAMPADA TUBULAR</t>
  </si>
  <si>
    <t>SI00000094231</t>
  </si>
  <si>
    <t>RUFO EM CHAPA DE AÇO GALVANIZADO NÚMERO 24, CORTE DE 25 CM, INCLUSO TRANSPORTE VERTICAL. AF_07/2019</t>
  </si>
  <si>
    <t>0040872</t>
  </si>
  <si>
    <t>0013388</t>
  </si>
  <si>
    <t>0005104</t>
  </si>
  <si>
    <t>0005061</t>
  </si>
  <si>
    <t>0000142</t>
  </si>
  <si>
    <t>SI00000088323</t>
  </si>
  <si>
    <t>SI00000093282</t>
  </si>
  <si>
    <t>SI00000093282 GUINCHO ELÉTRICO DE COLUNA, CAPACIDADE 400 KG, COM MOTO FREIO, MOTOR TRIFÁSICO DE 1,25 CV - CHI DIURNO. AF_03/2016</t>
  </si>
  <si>
    <t>SI00000093281</t>
  </si>
  <si>
    <t>SI00000093281 GUINCHO ELÉTRICO DE COLUNA, CAPACIDADE 400 KG, COM MOTO FREIO, MOTOR TRIFÁSICO DE 1,25 CV - CHP DIURNO. AF_03/2016</t>
  </si>
  <si>
    <t>0000626</t>
  </si>
  <si>
    <t>SI000000006225</t>
  </si>
  <si>
    <t>SI00000094994</t>
  </si>
  <si>
    <t>0007156</t>
  </si>
  <si>
    <t>0004517</t>
  </si>
  <si>
    <t>0004460</t>
  </si>
  <si>
    <t>0003777</t>
  </si>
  <si>
    <t>SI00000088262</t>
  </si>
  <si>
    <t>SI00000094964</t>
  </si>
  <si>
    <t>SI00000094964 CONCRETO FCK = 20MPA, TRAÇO 1:2,7:3 (CIMENTO/ AREIA MÉDIA/ BRITA 1)  - PREPARO MECÂNICO COM BETONEIRA 400 L. AF_07/2016</t>
  </si>
  <si>
    <t>SI00000087878</t>
  </si>
  <si>
    <t>SI00000087377</t>
  </si>
  <si>
    <t>SI00000087377 ARGAMASSA TRAÇO 1:3 (EM VOLUME DE CIMENTO E AREIA GROSSA ÚMIDA) PARA CHAPISCO CONVENCIONAL, PREPARO MANUAL. AF_08/2019</t>
  </si>
  <si>
    <t>10.10</t>
  </si>
  <si>
    <t>DATA: 18/10/2019 - REVISÃO 19/02/2020</t>
  </si>
  <si>
    <t>Data-Base:   EMOP -  RJ / SINAPI e SCO-RJ- Desonerado - Base SET-19</t>
  </si>
  <si>
    <t xml:space="preserve">ORÇAMENTO </t>
  </si>
  <si>
    <t>PLANILHA ORÇAMENTÁRIA</t>
  </si>
</sst>
</file>

<file path=xl/styles.xml><?xml version="1.0" encoding="utf-8"?>
<styleSheet xmlns="http://schemas.openxmlformats.org/spreadsheetml/2006/main">
  <numFmts count="3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dd/mm/yy;@"/>
    <numFmt numFmtId="165" formatCode="#,##0.00_ ;\-#,##0.00\ "/>
    <numFmt numFmtId="166" formatCode="0.0%"/>
    <numFmt numFmtId="167" formatCode="_([$€]* #,##0.00_);_([$€]* \(#,##0.00\);_([$€]* &quot;-&quot;??_);_(@_)"/>
    <numFmt numFmtId="168" formatCode="_ * #,##0.00_ ;_ * \-#,##0.00_ ;_ * &quot;-&quot;??_ ;_ @_ "/>
    <numFmt numFmtId="169" formatCode="_-* #,##0.00\ _E_s_c_._-;\-* #,##0.00\ _E_s_c_._-;_-* &quot;-&quot;??\ _E_s_c_._-;_-@_-"/>
    <numFmt numFmtId="170" formatCode="_(* #,##0.00_);_(* \(#,##0.00\);_(* &quot;-&quot;??_);_(@_)"/>
    <numFmt numFmtId="171" formatCode="#,##0.000"/>
    <numFmt numFmtId="172" formatCode="0.0000"/>
    <numFmt numFmtId="173" formatCode="#,##0.000_ ;\-#,##0.000\ "/>
    <numFmt numFmtId="174" formatCode="&quot;Sim&quot;;&quot;Sim&quot;;&quot;Não&quot;"/>
    <numFmt numFmtId="175" formatCode="&quot;Verdadeiro&quot;;&quot;Verdadeiro&quot;;&quot;Falso&quot;"/>
    <numFmt numFmtId="176" formatCode="&quot;Ativado&quot;;&quot;Ativado&quot;;&quot;Desativado&quot;"/>
    <numFmt numFmtId="177" formatCode="[$€-2]\ #,##0.00_);[Red]\([$€-2]\ #,##0.00\)"/>
    <numFmt numFmtId="178" formatCode="#,##0.0000_ ;\-#,##0.0000\ "/>
    <numFmt numFmtId="179" formatCode="#,##0.00000_ ;\-#,##0.00000\ "/>
    <numFmt numFmtId="180" formatCode="#,##0.000000_ ;\-#,##0.000000\ "/>
    <numFmt numFmtId="181" formatCode="#,##0.0000000_ ;\-#,##0.0000000\ "/>
    <numFmt numFmtId="182" formatCode="#,##0.0000"/>
    <numFmt numFmtId="183" formatCode="dd/mm/yy"/>
    <numFmt numFmtId="184" formatCode="_-* #,##0_-;\-* #,##0_-;_-* &quot;-&quot;??_-;_-@_-"/>
    <numFmt numFmtId="185" formatCode="&quot;R$&quot;\ #,##0.00"/>
    <numFmt numFmtId="186" formatCode="0.0"/>
    <numFmt numFmtId="187" formatCode="0.00000"/>
    <numFmt numFmtId="188" formatCode="_-&quot;R$&quot;\ * #,##0.000_-;\-&quot;R$&quot;\ * #,##0.000_-;_-&quot;R$&quot;\ * &quot;-&quot;??_-;_-@_-"/>
    <numFmt numFmtId="189" formatCode="_-&quot;R$&quot;\ * #,##0.0000_-;\-&quot;R$&quot;\ * #,##0.0000_-;_-&quot;R$&quot;\ * &quot;-&quot;??_-;_-@_-"/>
    <numFmt numFmtId="190" formatCode="0.000"/>
    <numFmt numFmtId="191" formatCode="#,##0.0_ ;\-#,##0.0\ "/>
    <numFmt numFmtId="192" formatCode="_-&quot;R$&quot;\ * #,##0.00000_-;\-&quot;R$&quot;\ * #,##0.00000_-;_-&quot;R$&quot;\ * &quot;-&quot;??_-;_-@_-"/>
  </numFmts>
  <fonts count="73">
    <font>
      <sz val="11"/>
      <color theme="1"/>
      <name val="Calibri"/>
      <family val="2"/>
    </font>
    <font>
      <sz val="11"/>
      <color indexed="8"/>
      <name val="Calibri"/>
      <family val="2"/>
    </font>
    <font>
      <sz val="10"/>
      <name val="Arial"/>
      <family val="2"/>
    </font>
    <font>
      <sz val="10"/>
      <name val="Switzerland"/>
      <family val="0"/>
    </font>
    <font>
      <sz val="11"/>
      <name val="Switzerland"/>
      <family val="0"/>
    </font>
    <font>
      <b/>
      <sz val="14"/>
      <name val="Arial"/>
      <family val="2"/>
    </font>
    <font>
      <sz val="14"/>
      <name val="Arial"/>
      <family val="2"/>
    </font>
    <font>
      <b/>
      <sz val="14"/>
      <color indexed="8"/>
      <name val="Arial"/>
      <family val="2"/>
    </font>
    <font>
      <sz val="14"/>
      <color indexed="8"/>
      <name val="Arial"/>
      <family val="2"/>
    </font>
    <font>
      <b/>
      <sz val="18"/>
      <name val="Arial"/>
      <family val="2"/>
    </font>
    <font>
      <b/>
      <sz val="20"/>
      <name val="Arial"/>
      <family val="2"/>
    </font>
    <font>
      <b/>
      <sz val="10"/>
      <name val="Switzerland"/>
      <family val="0"/>
    </font>
    <font>
      <b/>
      <sz val="16"/>
      <color indexed="8"/>
      <name val="Arial"/>
      <family val="2"/>
    </font>
    <font>
      <sz val="16"/>
      <color indexed="8"/>
      <name val="Arial"/>
      <family val="2"/>
    </font>
    <font>
      <sz val="16"/>
      <name val="Arial"/>
      <family val="2"/>
    </font>
    <font>
      <sz val="1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4"/>
      <name val="Calibri"/>
      <family val="2"/>
    </font>
    <font>
      <sz val="14"/>
      <color indexed="10"/>
      <name val="Calibri"/>
      <family val="2"/>
    </font>
    <font>
      <b/>
      <sz val="14"/>
      <name val="Calibri"/>
      <family val="2"/>
    </font>
    <font>
      <b/>
      <sz val="14"/>
      <color indexed="10"/>
      <name val="Calibri"/>
      <family val="2"/>
    </font>
    <font>
      <b/>
      <sz val="18"/>
      <color indexed="10"/>
      <name val="Calibri"/>
      <family val="2"/>
    </font>
    <font>
      <b/>
      <sz val="20"/>
      <color indexed="8"/>
      <name val="Arial"/>
      <family val="2"/>
    </font>
    <font>
      <sz val="18"/>
      <color indexed="8"/>
      <name val="Arial"/>
      <family val="2"/>
    </font>
    <font>
      <sz val="16"/>
      <color indexed="10"/>
      <name val="Arial"/>
      <family val="2"/>
    </font>
    <font>
      <sz val="14"/>
      <color indexed="8"/>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4"/>
      <color theme="1"/>
      <name val="Arial"/>
      <family val="2"/>
    </font>
    <font>
      <sz val="14"/>
      <color theme="1"/>
      <name val="Arial"/>
      <family val="2"/>
    </font>
    <font>
      <sz val="14"/>
      <color rgb="FFFF0000"/>
      <name val="Calibri"/>
      <family val="2"/>
    </font>
    <font>
      <b/>
      <sz val="14"/>
      <color rgb="FFFF0000"/>
      <name val="Calibri"/>
      <family val="2"/>
    </font>
    <font>
      <b/>
      <sz val="18"/>
      <color rgb="FFFF0000"/>
      <name val="Calibri"/>
      <family val="2"/>
    </font>
    <font>
      <b/>
      <sz val="20"/>
      <color theme="1"/>
      <name val="Arial"/>
      <family val="2"/>
    </font>
    <font>
      <sz val="18"/>
      <color theme="1"/>
      <name val="Arial"/>
      <family val="2"/>
    </font>
    <font>
      <sz val="16"/>
      <color theme="1"/>
      <name val="Arial"/>
      <family val="2"/>
    </font>
    <font>
      <sz val="16"/>
      <color rgb="FFFF0000"/>
      <name val="Arial"/>
      <family val="2"/>
    </font>
    <font>
      <sz val="14"/>
      <color theme="1"/>
      <name val="Calibri"/>
      <family val="2"/>
    </font>
    <font>
      <b/>
      <sz val="14"/>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FFFF00"/>
        <bgColor indexed="64"/>
      </patternFill>
    </fill>
    <fill>
      <patternFill patternType="solid">
        <fgColor rgb="FF92D050"/>
        <bgColor indexed="64"/>
      </patternFill>
    </fill>
    <fill>
      <patternFill patternType="solid">
        <fgColor theme="0" tint="-0.2499700039625167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style="thin"/>
      <right/>
      <top/>
      <bottom/>
    </border>
    <border>
      <left style="thin"/>
      <right>
        <color indexed="63"/>
      </right>
      <top>
        <color indexed="63"/>
      </top>
      <bottom style="thin"/>
    </border>
    <border>
      <left/>
      <right/>
      <top/>
      <bottom style="thin"/>
    </border>
    <border>
      <left/>
      <right style="thin"/>
      <top/>
      <bottom/>
    </border>
    <border>
      <left/>
      <right style="thin"/>
      <top style="thin"/>
      <bottom/>
    </border>
    <border>
      <left/>
      <right style="thin"/>
      <top/>
      <bottom style="thin"/>
    </border>
    <border>
      <left style="thin"/>
      <right style="thin"/>
      <top style="thin"/>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style="thin"/>
      <right/>
      <top style="thin"/>
      <bottom style="thin"/>
    </border>
    <border>
      <left/>
      <right style="thin"/>
      <top style="thin"/>
      <bottom style="thin"/>
    </border>
    <border>
      <left style="medium"/>
      <right style="medium"/>
      <top style="thin"/>
      <bottom style="thin"/>
    </border>
    <border>
      <left style="medium"/>
      <right style="medium"/>
      <top>
        <color indexed="63"/>
      </top>
      <bottom>
        <color indexed="63"/>
      </bottom>
    </border>
    <border>
      <left>
        <color indexed="63"/>
      </left>
      <right>
        <color indexed="63"/>
      </right>
      <top>
        <color indexed="63"/>
      </top>
      <bottom style="medium"/>
    </border>
    <border>
      <left>
        <color indexed="63"/>
      </left>
      <right>
        <color indexed="63"/>
      </right>
      <top style="thin"/>
      <bottom style="medium"/>
    </border>
    <border>
      <left style="thin"/>
      <right style="thin"/>
      <top>
        <color indexed="63"/>
      </top>
      <bottom style="mediu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9" fillId="29" borderId="1" applyNumberFormat="0" applyAlignment="0" applyProtection="0"/>
    <xf numFmtId="167"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5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3" fillId="0" borderId="0">
      <alignment/>
      <protection/>
    </xf>
    <xf numFmtId="0" fontId="2"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4" fillId="21" borderId="5" applyNumberFormat="0" applyAlignment="0" applyProtection="0"/>
    <xf numFmtId="41"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43" fontId="0" fillId="0" borderId="0" applyFont="0" applyFill="0" applyBorder="0" applyAlignment="0" applyProtection="0"/>
    <xf numFmtId="170" fontId="2" fillId="0" borderId="0" applyFont="0" applyFill="0" applyBorder="0" applyAlignment="0" applyProtection="0"/>
    <xf numFmtId="43" fontId="1" fillId="0" borderId="0" applyFont="0" applyFill="0" applyBorder="0" applyAlignment="0" applyProtection="0"/>
  </cellStyleXfs>
  <cellXfs count="360">
    <xf numFmtId="0" fontId="0" fillId="0" borderId="0" xfId="0" applyFont="1" applyAlignment="1">
      <alignment/>
    </xf>
    <xf numFmtId="0" fontId="3" fillId="0" borderId="0" xfId="56">
      <alignment/>
      <protection/>
    </xf>
    <xf numFmtId="4" fontId="3" fillId="0" borderId="0" xfId="56" applyNumberFormat="1">
      <alignment/>
      <protection/>
    </xf>
    <xf numFmtId="0" fontId="4" fillId="0" borderId="0" xfId="56" applyFont="1">
      <alignment/>
      <protection/>
    </xf>
    <xf numFmtId="0" fontId="5" fillId="0" borderId="10" xfId="59" applyFont="1" applyFill="1" applyBorder="1" applyAlignment="1">
      <alignment vertical="top"/>
      <protection/>
    </xf>
    <xf numFmtId="0" fontId="6" fillId="0" borderId="10" xfId="59" applyFont="1" applyFill="1" applyBorder="1" applyAlignment="1">
      <alignment horizontal="left" vertical="top"/>
      <protection/>
    </xf>
    <xf numFmtId="10" fontId="6" fillId="0" borderId="10" xfId="64" applyNumberFormat="1" applyFont="1" applyFill="1" applyBorder="1" applyAlignment="1">
      <alignment/>
    </xf>
    <xf numFmtId="4" fontId="6" fillId="0" borderId="10" xfId="56" applyNumberFormat="1" applyFont="1" applyFill="1" applyBorder="1" applyAlignment="1">
      <alignment/>
      <protection/>
    </xf>
    <xf numFmtId="4" fontId="5" fillId="0" borderId="10" xfId="52" applyNumberFormat="1" applyFont="1" applyFill="1" applyBorder="1" applyAlignment="1">
      <alignment horizontal="right"/>
      <protection/>
    </xf>
    <xf numFmtId="0" fontId="5" fillId="0" borderId="10" xfId="0" applyFont="1" applyFill="1" applyBorder="1" applyAlignment="1">
      <alignment horizontal="center" vertical="center"/>
    </xf>
    <xf numFmtId="49" fontId="62" fillId="33" borderId="11" xfId="59" applyNumberFormat="1" applyFont="1" applyFill="1" applyBorder="1" applyAlignment="1">
      <alignment horizontal="center"/>
      <protection/>
    </xf>
    <xf numFmtId="49" fontId="62" fillId="33" borderId="12" xfId="54" applyNumberFormat="1" applyFont="1" applyFill="1" applyBorder="1">
      <alignment/>
      <protection/>
    </xf>
    <xf numFmtId="0" fontId="34" fillId="0" borderId="0" xfId="0" applyFont="1" applyAlignment="1">
      <alignment/>
    </xf>
    <xf numFmtId="49" fontId="62" fillId="33" borderId="13" xfId="59" applyNumberFormat="1" applyFont="1" applyFill="1" applyBorder="1" applyAlignment="1">
      <alignment horizontal="center"/>
      <protection/>
    </xf>
    <xf numFmtId="49" fontId="62" fillId="33" borderId="0" xfId="54" applyNumberFormat="1" applyFont="1" applyFill="1" applyBorder="1">
      <alignment/>
      <protection/>
    </xf>
    <xf numFmtId="49" fontId="62" fillId="33" borderId="14" xfId="59" applyNumberFormat="1" applyFont="1" applyFill="1" applyBorder="1" applyAlignment="1">
      <alignment horizontal="center"/>
      <protection/>
    </xf>
    <xf numFmtId="49" fontId="62" fillId="33" borderId="15" xfId="60" applyNumberFormat="1" applyFont="1" applyFill="1" applyBorder="1" applyAlignment="1">
      <alignment horizontal="center"/>
      <protection/>
    </xf>
    <xf numFmtId="4" fontId="63" fillId="33" borderId="15" xfId="60" applyNumberFormat="1" applyFont="1" applyFill="1" applyBorder="1" applyAlignment="1">
      <alignment/>
      <protection/>
    </xf>
    <xf numFmtId="0" fontId="6" fillId="33" borderId="12" xfId="0" applyFont="1" applyFill="1" applyBorder="1" applyAlignment="1">
      <alignment horizontal="center" vertical="center"/>
    </xf>
    <xf numFmtId="4" fontId="6" fillId="33" borderId="12" xfId="61" applyNumberFormat="1" applyFont="1" applyFill="1" applyBorder="1" applyAlignment="1">
      <alignment horizontal="center"/>
      <protection/>
    </xf>
    <xf numFmtId="0" fontId="6" fillId="33" borderId="13" xfId="61" applyFont="1" applyFill="1" applyBorder="1" applyAlignment="1">
      <alignment horizontal="center"/>
      <protection/>
    </xf>
    <xf numFmtId="0" fontId="6" fillId="33" borderId="0" xfId="61" applyFont="1" applyFill="1" applyBorder="1" applyAlignment="1">
      <alignment horizontal="center" vertical="center" wrapText="1"/>
      <protection/>
    </xf>
    <xf numFmtId="0" fontId="6" fillId="33" borderId="0" xfId="0" applyFont="1" applyFill="1" applyBorder="1" applyAlignment="1">
      <alignment horizontal="center" vertical="center"/>
    </xf>
    <xf numFmtId="171" fontId="6" fillId="33" borderId="0" xfId="0" applyNumberFormat="1" applyFont="1" applyFill="1" applyBorder="1" applyAlignment="1">
      <alignment horizontal="center" vertical="center"/>
    </xf>
    <xf numFmtId="4" fontId="6" fillId="33" borderId="0" xfId="61" applyNumberFormat="1" applyFont="1" applyFill="1" applyBorder="1" applyAlignment="1">
      <alignment horizontal="center"/>
      <protection/>
    </xf>
    <xf numFmtId="44" fontId="6" fillId="33" borderId="16" xfId="48" applyFont="1" applyFill="1" applyBorder="1" applyAlignment="1">
      <alignment horizontal="right"/>
    </xf>
    <xf numFmtId="0" fontId="6" fillId="33" borderId="15" xfId="0" applyFont="1" applyFill="1" applyBorder="1" applyAlignment="1">
      <alignment horizontal="center" vertical="center"/>
    </xf>
    <xf numFmtId="4" fontId="6" fillId="33" borderId="15" xfId="61" applyNumberFormat="1" applyFont="1" applyFill="1" applyBorder="1" applyAlignment="1">
      <alignment horizontal="center"/>
      <protection/>
    </xf>
    <xf numFmtId="0" fontId="5" fillId="33" borderId="10" xfId="0" applyFont="1" applyFill="1" applyBorder="1" applyAlignment="1">
      <alignment horizontal="center" vertical="center"/>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xf>
    <xf numFmtId="49" fontId="6" fillId="33" borderId="11" xfId="0" applyNumberFormat="1" applyFont="1" applyFill="1" applyBorder="1" applyAlignment="1">
      <alignment horizontal="center" vertical="center" wrapText="1"/>
    </xf>
    <xf numFmtId="4" fontId="5" fillId="33" borderId="12" xfId="61" applyNumberFormat="1" applyFont="1" applyFill="1" applyBorder="1" applyAlignment="1">
      <alignment horizontal="center"/>
      <protection/>
    </xf>
    <xf numFmtId="49" fontId="6" fillId="33" borderId="13" xfId="0" applyNumberFormat="1" applyFont="1" applyFill="1" applyBorder="1" applyAlignment="1">
      <alignment horizontal="center" vertical="center" wrapText="1"/>
    </xf>
    <xf numFmtId="49" fontId="34" fillId="0" borderId="0" xfId="0" applyNumberFormat="1" applyFont="1" applyAlignment="1">
      <alignment horizontal="center" vertical="center" wrapText="1"/>
    </xf>
    <xf numFmtId="49" fontId="34" fillId="0" borderId="0" xfId="0" applyNumberFormat="1" applyFont="1" applyAlignment="1">
      <alignment horizontal="justify" vertical="justify" wrapText="1"/>
    </xf>
    <xf numFmtId="0" fontId="34" fillId="0" borderId="0" xfId="0" applyFont="1" applyAlignment="1">
      <alignment horizontal="left"/>
    </xf>
    <xf numFmtId="44" fontId="34" fillId="0" borderId="0" xfId="48" applyFont="1" applyAlignment="1">
      <alignment horizontal="center"/>
    </xf>
    <xf numFmtId="44" fontId="5" fillId="33" borderId="10" xfId="48" applyFont="1" applyFill="1" applyBorder="1" applyAlignment="1">
      <alignment horizontal="center"/>
    </xf>
    <xf numFmtId="4" fontId="62" fillId="33" borderId="11" xfId="60" applyNumberFormat="1" applyFont="1" applyFill="1" applyBorder="1" applyAlignment="1">
      <alignment horizontal="left" vertical="center"/>
      <protection/>
    </xf>
    <xf numFmtId="4" fontId="62" fillId="33" borderId="12" xfId="0" applyNumberFormat="1" applyFont="1" applyFill="1" applyBorder="1" applyAlignment="1">
      <alignment horizontal="left"/>
    </xf>
    <xf numFmtId="4" fontId="62" fillId="33" borderId="12" xfId="59" applyNumberFormat="1" applyFont="1" applyFill="1" applyBorder="1" applyAlignment="1">
      <alignment horizontal="left"/>
      <protection/>
    </xf>
    <xf numFmtId="39" fontId="6" fillId="0" borderId="0" xfId="56" applyNumberFormat="1" applyFont="1">
      <alignment/>
      <protection/>
    </xf>
    <xf numFmtId="0" fontId="6" fillId="0" borderId="0" xfId="56" applyFont="1">
      <alignment/>
      <protection/>
    </xf>
    <xf numFmtId="0" fontId="6" fillId="0" borderId="17" xfId="56" applyFont="1" applyBorder="1">
      <alignment/>
      <protection/>
    </xf>
    <xf numFmtId="0" fontId="6" fillId="0" borderId="16" xfId="56" applyFont="1" applyBorder="1">
      <alignment/>
      <protection/>
    </xf>
    <xf numFmtId="0" fontId="6" fillId="0" borderId="18" xfId="56" applyFont="1" applyBorder="1">
      <alignment/>
      <protection/>
    </xf>
    <xf numFmtId="0" fontId="5" fillId="0" borderId="10" xfId="56" applyFont="1" applyBorder="1" applyAlignment="1">
      <alignment horizontal="center"/>
      <protection/>
    </xf>
    <xf numFmtId="0" fontId="5" fillId="0" borderId="19" xfId="56" applyFont="1" applyBorder="1" applyAlignment="1">
      <alignment horizontal="center"/>
      <protection/>
    </xf>
    <xf numFmtId="0" fontId="5" fillId="0" borderId="17" xfId="56" applyFont="1" applyBorder="1" applyAlignment="1">
      <alignment horizontal="center"/>
      <protection/>
    </xf>
    <xf numFmtId="0" fontId="5" fillId="0" borderId="20" xfId="57" applyFont="1" applyFill="1" applyBorder="1" applyAlignment="1">
      <alignment vertical="top"/>
      <protection/>
    </xf>
    <xf numFmtId="39" fontId="6" fillId="0" borderId="20" xfId="56" applyNumberFormat="1" applyFont="1" applyBorder="1" applyAlignment="1">
      <alignment/>
      <protection/>
    </xf>
    <xf numFmtId="0" fontId="6" fillId="34" borderId="21" xfId="52" applyFont="1" applyFill="1" applyBorder="1">
      <alignment/>
      <protection/>
    </xf>
    <xf numFmtId="166" fontId="5" fillId="34" borderId="21" xfId="64" applyNumberFormat="1" applyFont="1" applyFill="1" applyBorder="1" applyAlignment="1">
      <alignment horizontal="center"/>
    </xf>
    <xf numFmtId="0" fontId="6" fillId="34" borderId="22" xfId="56" applyFont="1" applyFill="1" applyBorder="1">
      <alignment/>
      <protection/>
    </xf>
    <xf numFmtId="0" fontId="64" fillId="0" borderId="0" xfId="0" applyFont="1" applyAlignment="1">
      <alignment/>
    </xf>
    <xf numFmtId="10" fontId="6" fillId="0" borderId="10" xfId="56" applyNumberFormat="1" applyFont="1" applyFill="1" applyBorder="1" applyAlignment="1">
      <alignment/>
      <protection/>
    </xf>
    <xf numFmtId="10" fontId="6" fillId="35" borderId="10" xfId="56" applyNumberFormat="1" applyFont="1" applyFill="1" applyBorder="1" applyAlignment="1">
      <alignment/>
      <protection/>
    </xf>
    <xf numFmtId="4" fontId="6" fillId="35" borderId="10" xfId="56" applyNumberFormat="1" applyFont="1" applyFill="1" applyBorder="1" applyAlignment="1">
      <alignment/>
      <protection/>
    </xf>
    <xf numFmtId="10" fontId="6" fillId="35" borderId="10" xfId="64" applyNumberFormat="1" applyFont="1" applyFill="1" applyBorder="1" applyAlignment="1">
      <alignment/>
    </xf>
    <xf numFmtId="0" fontId="34" fillId="0" borderId="0" xfId="0" applyFont="1" applyBorder="1" applyAlignment="1">
      <alignment/>
    </xf>
    <xf numFmtId="4" fontId="5" fillId="33" borderId="0" xfId="61" applyNumberFormat="1" applyFont="1" applyFill="1" applyBorder="1" applyAlignment="1">
      <alignment horizontal="center"/>
      <protection/>
    </xf>
    <xf numFmtId="0" fontId="6" fillId="0" borderId="0" xfId="0" applyFont="1" applyAlignment="1">
      <alignment/>
    </xf>
    <xf numFmtId="0" fontId="36" fillId="0" borderId="0" xfId="0" applyFont="1" applyAlignment="1">
      <alignment/>
    </xf>
    <xf numFmtId="0" fontId="34" fillId="33" borderId="0" xfId="0" applyFont="1" applyFill="1" applyBorder="1" applyAlignment="1">
      <alignment horizontal="center" vertical="center"/>
    </xf>
    <xf numFmtId="10" fontId="6" fillId="33" borderId="10" xfId="64" applyNumberFormat="1" applyFont="1" applyFill="1" applyBorder="1" applyAlignment="1">
      <alignment/>
    </xf>
    <xf numFmtId="4" fontId="6" fillId="33" borderId="10" xfId="56" applyNumberFormat="1" applyFont="1" applyFill="1" applyBorder="1" applyAlignment="1">
      <alignment/>
      <protection/>
    </xf>
    <xf numFmtId="49" fontId="5" fillId="33" borderId="13" xfId="0" applyNumberFormat="1" applyFont="1" applyFill="1" applyBorder="1" applyAlignment="1">
      <alignment horizontal="center" vertical="center" wrapText="1"/>
    </xf>
    <xf numFmtId="0" fontId="5" fillId="33" borderId="0" xfId="0" applyFont="1" applyFill="1" applyBorder="1" applyAlignment="1">
      <alignment horizontal="center" vertical="center"/>
    </xf>
    <xf numFmtId="0" fontId="65" fillId="0" borderId="0" xfId="0" applyFont="1" applyAlignment="1">
      <alignment/>
    </xf>
    <xf numFmtId="0" fontId="6" fillId="0" borderId="0" xfId="0" applyFont="1" applyBorder="1" applyAlignment="1">
      <alignment/>
    </xf>
    <xf numFmtId="44" fontId="5" fillId="33" borderId="22" xfId="48" applyFont="1" applyFill="1" applyBorder="1" applyAlignment="1">
      <alignment horizontal="center"/>
    </xf>
    <xf numFmtId="0" fontId="64" fillId="0" borderId="0" xfId="0" applyFont="1" applyBorder="1" applyAlignment="1">
      <alignment/>
    </xf>
    <xf numFmtId="0" fontId="36" fillId="0" borderId="0" xfId="0" applyFont="1" applyBorder="1" applyAlignment="1">
      <alignment/>
    </xf>
    <xf numFmtId="0" fontId="65" fillId="0" borderId="0" xfId="0" applyFont="1" applyBorder="1" applyAlignment="1">
      <alignment/>
    </xf>
    <xf numFmtId="0" fontId="64" fillId="36" borderId="0" xfId="0" applyFont="1" applyFill="1" applyBorder="1" applyAlignment="1">
      <alignment/>
    </xf>
    <xf numFmtId="44" fontId="5" fillId="33" borderId="10" xfId="48" applyFont="1" applyFill="1" applyBorder="1" applyAlignment="1">
      <alignment horizontal="right"/>
    </xf>
    <xf numFmtId="0" fontId="66" fillId="0" borderId="0" xfId="0" applyFont="1" applyAlignment="1">
      <alignment horizontal="justify" vertical="justify" wrapText="1"/>
    </xf>
    <xf numFmtId="0" fontId="6" fillId="33" borderId="0" xfId="0" applyFont="1" applyFill="1" applyBorder="1" applyAlignment="1">
      <alignment horizontal="justify" vertical="center" wrapText="1"/>
    </xf>
    <xf numFmtId="0" fontId="34" fillId="33" borderId="12" xfId="0" applyFont="1" applyFill="1" applyBorder="1" applyAlignment="1">
      <alignment horizontal="center" vertical="center"/>
    </xf>
    <xf numFmtId="0" fontId="6" fillId="33" borderId="12" xfId="0" applyFont="1" applyFill="1" applyBorder="1" applyAlignment="1">
      <alignment horizontal="justify" vertical="center" wrapText="1"/>
    </xf>
    <xf numFmtId="0" fontId="5" fillId="0" borderId="0" xfId="56" applyFont="1">
      <alignment/>
      <protection/>
    </xf>
    <xf numFmtId="0" fontId="11" fillId="0" borderId="0" xfId="56" applyFont="1" applyBorder="1">
      <alignment/>
      <protection/>
    </xf>
    <xf numFmtId="0" fontId="11" fillId="0" borderId="0" xfId="56" applyFont="1">
      <alignment/>
      <protection/>
    </xf>
    <xf numFmtId="4" fontId="67" fillId="33" borderId="12" xfId="54" applyNumberFormat="1" applyFont="1" applyFill="1" applyBorder="1" applyAlignment="1">
      <alignment horizontal="left" readingOrder="1"/>
      <protection/>
    </xf>
    <xf numFmtId="4" fontId="67" fillId="33" borderId="0" xfId="54" applyNumberFormat="1" applyFont="1" applyFill="1" applyBorder="1" applyAlignment="1">
      <alignment horizontal="left" readingOrder="1"/>
      <protection/>
    </xf>
    <xf numFmtId="4" fontId="68" fillId="33" borderId="0" xfId="54" applyNumberFormat="1" applyFont="1" applyFill="1" applyBorder="1">
      <alignment/>
      <protection/>
    </xf>
    <xf numFmtId="4" fontId="68" fillId="33" borderId="0" xfId="60" applyNumberFormat="1" applyFont="1" applyFill="1" applyBorder="1" applyAlignment="1">
      <alignment horizontal="left"/>
      <protection/>
    </xf>
    <xf numFmtId="4" fontId="69" fillId="33" borderId="0" xfId="54" applyNumberFormat="1" applyFont="1" applyFill="1" applyBorder="1" applyAlignment="1">
      <alignment vertical="center"/>
      <protection/>
    </xf>
    <xf numFmtId="0" fontId="14" fillId="33" borderId="0" xfId="0" applyFont="1" applyFill="1" applyBorder="1" applyAlignment="1">
      <alignment vertical="center" wrapText="1"/>
    </xf>
    <xf numFmtId="0" fontId="70" fillId="33" borderId="0" xfId="0" applyFont="1" applyFill="1" applyBorder="1" applyAlignment="1">
      <alignment vertical="center" wrapText="1" readingOrder="1"/>
    </xf>
    <xf numFmtId="4" fontId="70" fillId="33" borderId="0" xfId="60" applyNumberFormat="1" applyFont="1" applyFill="1" applyBorder="1" applyAlignment="1">
      <alignment vertical="center"/>
      <protection/>
    </xf>
    <xf numFmtId="0" fontId="14" fillId="33" borderId="0" xfId="60" applyFont="1" applyFill="1" applyBorder="1" applyAlignment="1">
      <alignment/>
      <protection/>
    </xf>
    <xf numFmtId="49" fontId="6" fillId="33" borderId="22" xfId="0" applyNumberFormat="1" applyFont="1" applyFill="1" applyBorder="1" applyAlignment="1">
      <alignment horizontal="center" vertical="center" wrapText="1"/>
    </xf>
    <xf numFmtId="0" fontId="63" fillId="33" borderId="10" xfId="0" applyFont="1" applyFill="1" applyBorder="1" applyAlignment="1">
      <alignment horizontal="justify" vertical="center" wrapText="1"/>
    </xf>
    <xf numFmtId="4" fontId="15" fillId="33" borderId="0" xfId="54" applyNumberFormat="1" applyFont="1" applyFill="1" applyBorder="1" applyAlignment="1">
      <alignment vertical="center" wrapText="1" readingOrder="1"/>
      <protection/>
    </xf>
    <xf numFmtId="0" fontId="64" fillId="37" borderId="0" xfId="0" applyFont="1" applyFill="1" applyAlignment="1">
      <alignment/>
    </xf>
    <xf numFmtId="0" fontId="34" fillId="37" borderId="0" xfId="0" applyFont="1" applyFill="1" applyAlignment="1">
      <alignment/>
    </xf>
    <xf numFmtId="0" fontId="71" fillId="33" borderId="12" xfId="0" applyFont="1" applyFill="1" applyBorder="1" applyAlignment="1">
      <alignment horizontal="center" vertical="center"/>
    </xf>
    <xf numFmtId="0" fontId="63" fillId="33" borderId="12" xfId="0" applyFont="1" applyFill="1" applyBorder="1" applyAlignment="1">
      <alignment horizontal="justify" vertical="center" wrapText="1"/>
    </xf>
    <xf numFmtId="0" fontId="71" fillId="33" borderId="0" xfId="0" applyFont="1" applyFill="1" applyBorder="1" applyAlignment="1">
      <alignment horizontal="center" vertical="center"/>
    </xf>
    <xf numFmtId="0" fontId="63" fillId="33" borderId="0" xfId="0" applyFont="1" applyFill="1" applyBorder="1" applyAlignment="1">
      <alignment horizontal="justify" vertical="center" wrapText="1"/>
    </xf>
    <xf numFmtId="0" fontId="63" fillId="33" borderId="15" xfId="0" applyFont="1" applyFill="1" applyBorder="1" applyAlignment="1">
      <alignment horizontal="justify" vertical="center" wrapText="1"/>
    </xf>
    <xf numFmtId="0" fontId="63" fillId="33" borderId="0" xfId="0" applyFont="1" applyFill="1" applyAlignment="1">
      <alignment horizontal="justify" vertical="center" wrapText="1"/>
    </xf>
    <xf numFmtId="0" fontId="6" fillId="33" borderId="0" xfId="0" applyFont="1" applyFill="1" applyAlignment="1">
      <alignment horizontal="justify" vertical="center" wrapText="1"/>
    </xf>
    <xf numFmtId="0" fontId="63" fillId="33" borderId="23" xfId="0" applyFont="1" applyFill="1" applyBorder="1" applyAlignment="1">
      <alignment horizontal="justify" vertical="center" wrapText="1"/>
    </xf>
    <xf numFmtId="0" fontId="36" fillId="33" borderId="0" xfId="0" applyFont="1" applyFill="1" applyBorder="1" applyAlignment="1">
      <alignment horizontal="center" vertical="center"/>
    </xf>
    <xf numFmtId="0" fontId="5" fillId="33" borderId="0" xfId="0" applyFont="1" applyFill="1" applyBorder="1" applyAlignment="1">
      <alignment horizontal="justify" vertical="center" wrapText="1"/>
    </xf>
    <xf numFmtId="0" fontId="62" fillId="33" borderId="0" xfId="0" applyFont="1" applyFill="1" applyAlignment="1">
      <alignment horizontal="justify" vertical="center" wrapText="1"/>
    </xf>
    <xf numFmtId="0" fontId="62" fillId="33" borderId="0" xfId="0" applyFont="1" applyFill="1" applyBorder="1" applyAlignment="1">
      <alignment horizontal="justify" vertical="center" wrapText="1"/>
    </xf>
    <xf numFmtId="0" fontId="34" fillId="0" borderId="0" xfId="0" applyFont="1" applyFill="1" applyAlignment="1">
      <alignment/>
    </xf>
    <xf numFmtId="0" fontId="34" fillId="0" borderId="0" xfId="0" applyFont="1" applyFill="1" applyBorder="1" applyAlignment="1">
      <alignment/>
    </xf>
    <xf numFmtId="0" fontId="72" fillId="33" borderId="0" xfId="0" applyFont="1" applyFill="1" applyBorder="1" applyAlignment="1">
      <alignment horizontal="center" vertical="center"/>
    </xf>
    <xf numFmtId="0" fontId="34" fillId="33" borderId="10" xfId="0" applyFont="1" applyFill="1" applyBorder="1" applyAlignment="1">
      <alignment horizontal="center" vertical="center"/>
    </xf>
    <xf numFmtId="0" fontId="6" fillId="33" borderId="10" xfId="0" applyFont="1" applyFill="1" applyBorder="1" applyAlignment="1">
      <alignment horizontal="justify" vertical="center" wrapText="1"/>
    </xf>
    <xf numFmtId="4" fontId="6" fillId="33" borderId="10" xfId="61" applyNumberFormat="1" applyFont="1" applyFill="1" applyBorder="1" applyAlignment="1">
      <alignment horizontal="center"/>
      <protection/>
    </xf>
    <xf numFmtId="44" fontId="6" fillId="33" borderId="10" xfId="48" applyFont="1" applyFill="1" applyBorder="1" applyAlignment="1">
      <alignment horizontal="right"/>
    </xf>
    <xf numFmtId="49" fontId="6" fillId="33" borderId="24" xfId="0" applyNumberFormat="1" applyFont="1" applyFill="1" applyBorder="1" applyAlignment="1">
      <alignment horizontal="center" vertical="center" wrapText="1"/>
    </xf>
    <xf numFmtId="0" fontId="34" fillId="33" borderId="20" xfId="0" applyFont="1" applyFill="1" applyBorder="1" applyAlignment="1">
      <alignment horizontal="center" vertical="center"/>
    </xf>
    <xf numFmtId="0" fontId="6" fillId="33" borderId="20" xfId="0" applyFont="1" applyFill="1" applyBorder="1" applyAlignment="1">
      <alignment horizontal="justify" vertical="center" wrapText="1"/>
    </xf>
    <xf numFmtId="0" fontId="6" fillId="33" borderId="20" xfId="0" applyFont="1" applyFill="1" applyBorder="1" applyAlignment="1">
      <alignment horizontal="center" vertical="center"/>
    </xf>
    <xf numFmtId="4" fontId="6" fillId="33" borderId="20" xfId="61" applyNumberFormat="1" applyFont="1" applyFill="1" applyBorder="1" applyAlignment="1">
      <alignment horizontal="center"/>
      <protection/>
    </xf>
    <xf numFmtId="0" fontId="63" fillId="33" borderId="20" xfId="0" applyFont="1" applyFill="1" applyBorder="1" applyAlignment="1">
      <alignment horizontal="justify" vertical="center" wrapText="1"/>
    </xf>
    <xf numFmtId="4" fontId="5" fillId="33" borderId="20" xfId="61" applyNumberFormat="1" applyFont="1" applyFill="1" applyBorder="1" applyAlignment="1">
      <alignment horizontal="center"/>
      <protection/>
    </xf>
    <xf numFmtId="0" fontId="71" fillId="33" borderId="10" xfId="0" applyFont="1" applyFill="1" applyBorder="1" applyAlignment="1">
      <alignment horizontal="center" vertical="center"/>
    </xf>
    <xf numFmtId="0" fontId="62" fillId="33" borderId="10" xfId="0" applyFont="1" applyFill="1" applyBorder="1" applyAlignment="1">
      <alignment horizontal="right" vertical="center" wrapText="1"/>
    </xf>
    <xf numFmtId="0" fontId="6" fillId="33" borderId="0" xfId="0" applyFont="1" applyFill="1" applyBorder="1" applyAlignment="1">
      <alignment horizontal="left" vertical="center"/>
    </xf>
    <xf numFmtId="0" fontId="6" fillId="33" borderId="0" xfId="61" applyFont="1" applyFill="1" applyBorder="1" applyAlignment="1">
      <alignment horizontal="center"/>
      <protection/>
    </xf>
    <xf numFmtId="44" fontId="6" fillId="33" borderId="0" xfId="48" applyFont="1" applyFill="1" applyBorder="1" applyAlignment="1">
      <alignment horizontal="right"/>
    </xf>
    <xf numFmtId="0" fontId="6" fillId="33" borderId="11" xfId="61" applyFont="1" applyFill="1" applyBorder="1" applyAlignment="1">
      <alignment horizontal="center"/>
      <protection/>
    </xf>
    <xf numFmtId="0" fontId="6" fillId="33" borderId="14" xfId="61" applyFont="1" applyFill="1" applyBorder="1" applyAlignment="1">
      <alignment horizontal="center"/>
      <protection/>
    </xf>
    <xf numFmtId="0" fontId="6" fillId="33" borderId="15" xfId="61" applyFont="1" applyFill="1" applyBorder="1" applyAlignment="1">
      <alignment horizontal="center" vertical="center" wrapText="1"/>
      <protection/>
    </xf>
    <xf numFmtId="0" fontId="6" fillId="0" borderId="13" xfId="0" applyFont="1" applyBorder="1" applyAlignment="1">
      <alignment/>
    </xf>
    <xf numFmtId="0" fontId="63" fillId="0" borderId="12" xfId="0" applyFont="1" applyBorder="1" applyAlignment="1">
      <alignment horizontal="center"/>
    </xf>
    <xf numFmtId="192" fontId="34" fillId="0" borderId="0" xfId="0" applyNumberFormat="1" applyFont="1" applyAlignment="1">
      <alignment/>
    </xf>
    <xf numFmtId="0" fontId="5" fillId="0" borderId="24" xfId="59" applyFont="1" applyFill="1" applyBorder="1" applyAlignment="1">
      <alignment vertical="top"/>
      <protection/>
    </xf>
    <xf numFmtId="0" fontId="6" fillId="0" borderId="25" xfId="59" applyFont="1" applyFill="1" applyBorder="1" applyAlignment="1">
      <alignment horizontal="left" vertical="top"/>
      <protection/>
    </xf>
    <xf numFmtId="10" fontId="6" fillId="35" borderId="24" xfId="64" applyNumberFormat="1" applyFont="1" applyFill="1" applyBorder="1" applyAlignment="1">
      <alignment/>
    </xf>
    <xf numFmtId="4" fontId="6" fillId="35" borderId="25" xfId="56" applyNumberFormat="1" applyFont="1" applyFill="1" applyBorder="1" applyAlignment="1">
      <alignment/>
      <protection/>
    </xf>
    <xf numFmtId="10" fontId="6" fillId="35" borderId="24" xfId="56" applyNumberFormat="1" applyFont="1" applyFill="1" applyBorder="1" applyAlignment="1">
      <alignment/>
      <protection/>
    </xf>
    <xf numFmtId="4" fontId="5" fillId="0" borderId="19" xfId="52" applyNumberFormat="1" applyFont="1" applyFill="1" applyBorder="1" applyAlignment="1">
      <alignment horizontal="right"/>
      <protection/>
    </xf>
    <xf numFmtId="4" fontId="5" fillId="33" borderId="10" xfId="52" applyNumberFormat="1" applyFont="1" applyFill="1" applyBorder="1">
      <alignment/>
      <protection/>
    </xf>
    <xf numFmtId="10" fontId="6" fillId="33" borderId="10" xfId="56" applyNumberFormat="1" applyFont="1" applyFill="1" applyBorder="1" applyAlignment="1">
      <alignment/>
      <protection/>
    </xf>
    <xf numFmtId="0" fontId="36" fillId="33" borderId="0" xfId="0" applyFont="1" applyFill="1" applyAlignment="1">
      <alignment/>
    </xf>
    <xf numFmtId="0" fontId="36" fillId="33" borderId="0" xfId="0" applyFont="1" applyFill="1" applyBorder="1" applyAlignment="1">
      <alignment/>
    </xf>
    <xf numFmtId="44" fontId="5" fillId="33" borderId="0" xfId="48" applyFont="1" applyFill="1" applyBorder="1" applyAlignment="1">
      <alignment horizontal="right"/>
    </xf>
    <xf numFmtId="4" fontId="5" fillId="0" borderId="0" xfId="0" applyNumberFormat="1" applyFont="1" applyFill="1" applyBorder="1" applyAlignment="1">
      <alignment horizontal="center" vertical="center"/>
    </xf>
    <xf numFmtId="0" fontId="5" fillId="12" borderId="19" xfId="0" applyFont="1" applyFill="1" applyBorder="1" applyAlignment="1">
      <alignment horizontal="center" vertical="center"/>
    </xf>
    <xf numFmtId="4" fontId="5" fillId="12" borderId="10" xfId="0" applyNumberFormat="1" applyFont="1" applyFill="1" applyBorder="1" applyAlignment="1">
      <alignment horizontal="center" vertical="center"/>
    </xf>
    <xf numFmtId="0" fontId="34" fillId="12" borderId="0" xfId="0" applyFont="1" applyFill="1" applyAlignment="1">
      <alignment/>
    </xf>
    <xf numFmtId="0" fontId="34" fillId="12" borderId="0" xfId="0" applyFont="1" applyFill="1" applyBorder="1" applyAlignment="1">
      <alignment/>
    </xf>
    <xf numFmtId="0" fontId="34" fillId="38" borderId="0" xfId="0" applyFont="1" applyFill="1" applyAlignment="1">
      <alignment/>
    </xf>
    <xf numFmtId="0" fontId="34" fillId="38" borderId="0" xfId="0" applyFont="1" applyFill="1" applyBorder="1" applyAlignment="1">
      <alignment/>
    </xf>
    <xf numFmtId="0" fontId="6" fillId="12" borderId="10" xfId="61" applyFont="1" applyFill="1" applyBorder="1" applyAlignment="1">
      <alignment horizontal="center"/>
      <protection/>
    </xf>
    <xf numFmtId="0" fontId="6" fillId="12" borderId="10" xfId="61" applyFont="1" applyFill="1" applyBorder="1" applyAlignment="1">
      <alignment horizontal="center" vertical="center" wrapText="1"/>
      <protection/>
    </xf>
    <xf numFmtId="0" fontId="63" fillId="12" borderId="10" xfId="0" applyFont="1" applyFill="1" applyBorder="1" applyAlignment="1">
      <alignment horizontal="justify" vertical="center" wrapText="1"/>
    </xf>
    <xf numFmtId="0" fontId="6" fillId="12" borderId="10" xfId="0" applyFont="1" applyFill="1" applyBorder="1" applyAlignment="1">
      <alignment horizontal="center" vertical="center"/>
    </xf>
    <xf numFmtId="4" fontId="6" fillId="12" borderId="10" xfId="61" applyNumberFormat="1" applyFont="1" applyFill="1" applyBorder="1" applyAlignment="1">
      <alignment horizontal="center"/>
      <protection/>
    </xf>
    <xf numFmtId="0" fontId="6" fillId="0" borderId="13" xfId="61" applyFont="1" applyFill="1" applyBorder="1" applyAlignment="1">
      <alignment horizontal="center"/>
      <protection/>
    </xf>
    <xf numFmtId="0" fontId="6" fillId="0" borderId="0" xfId="61" applyFont="1" applyFill="1" applyBorder="1" applyAlignment="1">
      <alignment horizontal="center" vertical="center" wrapText="1"/>
      <protection/>
    </xf>
    <xf numFmtId="0" fontId="63" fillId="0" borderId="0" xfId="0" applyFont="1" applyFill="1" applyBorder="1" applyAlignment="1">
      <alignment horizontal="justify" vertical="center" wrapText="1"/>
    </xf>
    <xf numFmtId="0" fontId="6" fillId="0" borderId="0" xfId="0" applyFont="1" applyFill="1" applyBorder="1" applyAlignment="1">
      <alignment horizontal="center" vertical="center"/>
    </xf>
    <xf numFmtId="4" fontId="6" fillId="0" borderId="0" xfId="61" applyNumberFormat="1" applyFont="1" applyFill="1" applyBorder="1" applyAlignment="1">
      <alignment horizontal="center"/>
      <protection/>
    </xf>
    <xf numFmtId="4" fontId="6" fillId="0" borderId="0"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12" xfId="0" applyNumberFormat="1" applyFont="1" applyFill="1" applyBorder="1" applyAlignment="1">
      <alignment horizontal="center" vertical="center"/>
    </xf>
    <xf numFmtId="4" fontId="6" fillId="33" borderId="15" xfId="0" applyNumberFormat="1" applyFont="1" applyFill="1" applyBorder="1" applyAlignment="1">
      <alignment horizontal="center" vertical="center"/>
    </xf>
    <xf numFmtId="4" fontId="6" fillId="33" borderId="0" xfId="48" applyNumberFormat="1" applyFont="1" applyFill="1" applyBorder="1" applyAlignment="1">
      <alignment horizontal="center" vertical="center" wrapText="1"/>
    </xf>
    <xf numFmtId="4" fontId="5" fillId="33" borderId="10" xfId="48" applyNumberFormat="1" applyFont="1" applyFill="1" applyBorder="1" applyAlignment="1">
      <alignment horizontal="center" vertical="center" wrapText="1"/>
    </xf>
    <xf numFmtId="4" fontId="6" fillId="33" borderId="12" xfId="48" applyNumberFormat="1" applyFont="1" applyFill="1" applyBorder="1" applyAlignment="1">
      <alignment horizontal="center" vertical="center" wrapText="1"/>
    </xf>
    <xf numFmtId="4" fontId="5" fillId="33" borderId="0" xfId="48" applyNumberFormat="1" applyFont="1" applyFill="1" applyBorder="1" applyAlignment="1">
      <alignment horizontal="center" vertical="center" wrapText="1"/>
    </xf>
    <xf numFmtId="4" fontId="6" fillId="33" borderId="10" xfId="48" applyNumberFormat="1" applyFont="1" applyFill="1" applyBorder="1" applyAlignment="1">
      <alignment horizontal="center" vertical="center" wrapText="1"/>
    </xf>
    <xf numFmtId="4" fontId="6" fillId="33" borderId="20" xfId="48" applyNumberFormat="1" applyFont="1" applyFill="1" applyBorder="1" applyAlignment="1">
      <alignment horizontal="center" vertical="center" wrapText="1"/>
    </xf>
    <xf numFmtId="4" fontId="34" fillId="0" borderId="0" xfId="48" applyNumberFormat="1" applyFont="1" applyAlignment="1">
      <alignment horizontal="center" vertical="center" wrapText="1"/>
    </xf>
    <xf numFmtId="0" fontId="6" fillId="0" borderId="0" xfId="0" applyFont="1" applyFill="1" applyBorder="1" applyAlignment="1">
      <alignment horizontal="justify" vertical="center" wrapText="1"/>
    </xf>
    <xf numFmtId="0" fontId="64" fillId="0" borderId="0" xfId="0" applyFont="1" applyFill="1" applyAlignment="1">
      <alignment/>
    </xf>
    <xf numFmtId="0" fontId="64" fillId="0" borderId="0" xfId="0" applyFont="1" applyFill="1" applyBorder="1" applyAlignment="1">
      <alignment/>
    </xf>
    <xf numFmtId="4" fontId="6" fillId="12" borderId="10" xfId="61" applyNumberFormat="1" applyFont="1" applyFill="1" applyBorder="1" applyAlignment="1">
      <alignment horizontal="center" vertical="center" wrapText="1"/>
      <protection/>
    </xf>
    <xf numFmtId="4" fontId="6" fillId="12" borderId="10"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wrapText="1"/>
    </xf>
    <xf numFmtId="4" fontId="6" fillId="0" borderId="0" xfId="48" applyNumberFormat="1" applyFont="1" applyFill="1" applyBorder="1" applyAlignment="1">
      <alignment horizontal="center" vertical="center" wrapText="1"/>
    </xf>
    <xf numFmtId="0" fontId="34" fillId="0" borderId="0" xfId="0" applyFont="1" applyFill="1" applyBorder="1" applyAlignment="1">
      <alignment horizontal="center" vertical="justify" wrapText="1"/>
    </xf>
    <xf numFmtId="0" fontId="34" fillId="0" borderId="0" xfId="0" applyFont="1" applyFill="1" applyBorder="1" applyAlignment="1">
      <alignment horizontal="center" vertical="center"/>
    </xf>
    <xf numFmtId="0" fontId="36" fillId="0" borderId="0" xfId="0" applyFont="1" applyFill="1" applyBorder="1" applyAlignment="1">
      <alignment/>
    </xf>
    <xf numFmtId="0" fontId="5" fillId="12" borderId="10" xfId="61" applyFont="1" applyFill="1" applyBorder="1" applyAlignment="1">
      <alignment horizontal="center"/>
      <protection/>
    </xf>
    <xf numFmtId="0" fontId="5" fillId="12" borderId="10" xfId="61" applyFont="1" applyFill="1" applyBorder="1" applyAlignment="1">
      <alignment horizontal="center" vertical="center" wrapText="1"/>
      <protection/>
    </xf>
    <xf numFmtId="0" fontId="62" fillId="12" borderId="10" xfId="0" applyFont="1" applyFill="1" applyBorder="1" applyAlignment="1">
      <alignment horizontal="justify" vertical="center" wrapText="1"/>
    </xf>
    <xf numFmtId="0" fontId="5" fillId="12" borderId="10" xfId="0" applyFont="1" applyFill="1" applyBorder="1" applyAlignment="1">
      <alignment horizontal="center" vertical="center"/>
    </xf>
    <xf numFmtId="4" fontId="5" fillId="12" borderId="10" xfId="61" applyNumberFormat="1" applyFont="1" applyFill="1" applyBorder="1" applyAlignment="1">
      <alignment horizontal="center"/>
      <protection/>
    </xf>
    <xf numFmtId="0" fontId="36" fillId="12" borderId="0" xfId="0" applyFont="1" applyFill="1" applyAlignment="1">
      <alignment/>
    </xf>
    <xf numFmtId="0" fontId="36" fillId="12" borderId="0" xfId="0" applyFont="1" applyFill="1" applyBorder="1" applyAlignment="1">
      <alignment/>
    </xf>
    <xf numFmtId="49" fontId="5" fillId="0" borderId="13" xfId="0" applyNumberFormat="1" applyFont="1" applyFill="1" applyBorder="1" applyAlignment="1">
      <alignment horizontal="center" vertical="center" wrapText="1"/>
    </xf>
    <xf numFmtId="0" fontId="36" fillId="0" borderId="0" xfId="0" applyFont="1" applyFill="1" applyBorder="1" applyAlignment="1">
      <alignment horizontal="center" vertical="center"/>
    </xf>
    <xf numFmtId="0" fontId="5" fillId="0" borderId="0" xfId="0" applyFont="1" applyFill="1" applyBorder="1" applyAlignment="1">
      <alignment horizontal="center" vertical="center"/>
    </xf>
    <xf numFmtId="4" fontId="5" fillId="0" borderId="0" xfId="48" applyNumberFormat="1" applyFont="1" applyFill="1" applyBorder="1" applyAlignment="1">
      <alignment horizontal="center" vertical="center" wrapText="1"/>
    </xf>
    <xf numFmtId="4" fontId="5" fillId="0" borderId="0" xfId="61" applyNumberFormat="1" applyFont="1" applyFill="1" applyBorder="1" applyAlignment="1">
      <alignment horizontal="center"/>
      <protection/>
    </xf>
    <xf numFmtId="44" fontId="5" fillId="0" borderId="0" xfId="48" applyFont="1" applyFill="1" applyBorder="1" applyAlignment="1">
      <alignment horizontal="right"/>
    </xf>
    <xf numFmtId="0" fontId="36" fillId="0" borderId="0" xfId="0" applyFont="1" applyFill="1" applyAlignment="1">
      <alignment/>
    </xf>
    <xf numFmtId="49" fontId="5" fillId="12" borderId="19" xfId="0" applyNumberFormat="1" applyFont="1" applyFill="1" applyBorder="1" applyAlignment="1">
      <alignment horizontal="center" vertical="center" wrapText="1"/>
    </xf>
    <xf numFmtId="0" fontId="36" fillId="12" borderId="19" xfId="0" applyFont="1" applyFill="1" applyBorder="1" applyAlignment="1">
      <alignment horizontal="center" vertical="justify" wrapText="1"/>
    </xf>
    <xf numFmtId="0" fontId="5" fillId="12" borderId="19" xfId="0" applyFont="1" applyFill="1" applyBorder="1" applyAlignment="1">
      <alignment horizontal="justify" vertical="center" wrapText="1"/>
    </xf>
    <xf numFmtId="4" fontId="5" fillId="12" borderId="19" xfId="48" applyNumberFormat="1" applyFont="1" applyFill="1" applyBorder="1" applyAlignment="1">
      <alignment horizontal="center" vertical="center" wrapText="1"/>
    </xf>
    <xf numFmtId="4" fontId="5" fillId="12" borderId="19" xfId="61" applyNumberFormat="1" applyFont="1" applyFill="1" applyBorder="1" applyAlignment="1">
      <alignment horizontal="center"/>
      <protection/>
    </xf>
    <xf numFmtId="0" fontId="65" fillId="12" borderId="0" xfId="0" applyFont="1" applyFill="1" applyAlignment="1">
      <alignment/>
    </xf>
    <xf numFmtId="49" fontId="6" fillId="12" borderId="19" xfId="0" applyNumberFormat="1" applyFont="1" applyFill="1" applyBorder="1" applyAlignment="1">
      <alignment horizontal="center" vertical="center" wrapText="1"/>
    </xf>
    <xf numFmtId="0" fontId="34" fillId="12" borderId="19" xfId="0" applyFont="1" applyFill="1" applyBorder="1" applyAlignment="1">
      <alignment horizontal="center" vertical="justify" wrapText="1"/>
    </xf>
    <xf numFmtId="0" fontId="6" fillId="12" borderId="19" xfId="0" applyFont="1" applyFill="1" applyBorder="1" applyAlignment="1">
      <alignment horizontal="justify" vertical="center" wrapText="1"/>
    </xf>
    <xf numFmtId="0" fontId="6" fillId="12" borderId="19" xfId="0" applyFont="1" applyFill="1" applyBorder="1" applyAlignment="1">
      <alignment horizontal="center" vertical="center"/>
    </xf>
    <xf numFmtId="4" fontId="6" fillId="12" borderId="19" xfId="48" applyNumberFormat="1" applyFont="1" applyFill="1" applyBorder="1" applyAlignment="1">
      <alignment horizontal="center" vertical="center" wrapText="1"/>
    </xf>
    <xf numFmtId="4" fontId="6" fillId="12" borderId="19" xfId="61" applyNumberFormat="1" applyFont="1" applyFill="1" applyBorder="1" applyAlignment="1">
      <alignment horizontal="center"/>
      <protection/>
    </xf>
    <xf numFmtId="0" fontId="64" fillId="12" borderId="0" xfId="0" applyFont="1" applyFill="1" applyAlignment="1">
      <alignment/>
    </xf>
    <xf numFmtId="49" fontId="6" fillId="12" borderId="10" xfId="0" applyNumberFormat="1" applyFont="1" applyFill="1" applyBorder="1" applyAlignment="1">
      <alignment horizontal="center" vertical="center" wrapText="1"/>
    </xf>
    <xf numFmtId="0" fontId="34" fillId="12" borderId="10" xfId="0" applyFont="1" applyFill="1" applyBorder="1" applyAlignment="1">
      <alignment horizontal="center" vertical="center"/>
    </xf>
    <xf numFmtId="0" fontId="6" fillId="12" borderId="10" xfId="0" applyFont="1" applyFill="1" applyBorder="1" applyAlignment="1">
      <alignment horizontal="justify" vertical="center" wrapText="1"/>
    </xf>
    <xf numFmtId="4" fontId="6" fillId="12" borderId="10" xfId="48" applyNumberFormat="1" applyFont="1" applyFill="1" applyBorder="1" applyAlignment="1">
      <alignment horizontal="center" vertical="center" wrapText="1"/>
    </xf>
    <xf numFmtId="0" fontId="64" fillId="12" borderId="0" xfId="0" applyFont="1" applyFill="1" applyBorder="1" applyAlignment="1">
      <alignment/>
    </xf>
    <xf numFmtId="0" fontId="34" fillId="12" borderId="10" xfId="0" applyFont="1" applyFill="1" applyBorder="1" applyAlignment="1">
      <alignment horizontal="center" vertical="justify" wrapText="1"/>
    </xf>
    <xf numFmtId="0" fontId="6" fillId="12" borderId="26" xfId="0" applyFont="1" applyFill="1" applyBorder="1" applyAlignment="1">
      <alignment horizontal="justify" vertical="center" wrapText="1"/>
    </xf>
    <xf numFmtId="49" fontId="5" fillId="12" borderId="10" xfId="0" applyNumberFormat="1" applyFont="1" applyFill="1" applyBorder="1" applyAlignment="1">
      <alignment horizontal="center" vertical="center" wrapText="1"/>
    </xf>
    <xf numFmtId="0" fontId="5" fillId="12" borderId="26" xfId="0" applyFont="1" applyFill="1" applyBorder="1" applyAlignment="1">
      <alignment horizontal="justify" vertical="center" wrapText="1"/>
    </xf>
    <xf numFmtId="4" fontId="5" fillId="12" borderId="10" xfId="48" applyNumberFormat="1" applyFont="1" applyFill="1" applyBorder="1" applyAlignment="1">
      <alignment horizontal="center" vertical="center" wrapText="1"/>
    </xf>
    <xf numFmtId="0" fontId="36" fillId="12" borderId="10" xfId="0" applyFont="1" applyFill="1" applyBorder="1" applyAlignment="1">
      <alignment horizontal="center" vertical="center" wrapText="1"/>
    </xf>
    <xf numFmtId="0" fontId="34" fillId="12" borderId="10" xfId="0" applyFont="1" applyFill="1" applyBorder="1" applyAlignment="1">
      <alignment horizontal="center" vertical="center" wrapText="1"/>
    </xf>
    <xf numFmtId="49" fontId="6" fillId="12" borderId="21" xfId="0" applyNumberFormat="1" applyFont="1" applyFill="1" applyBorder="1" applyAlignment="1">
      <alignment horizontal="center" vertical="center" wrapText="1"/>
    </xf>
    <xf numFmtId="0" fontId="34" fillId="12" borderId="21" xfId="0" applyFont="1" applyFill="1" applyBorder="1" applyAlignment="1">
      <alignment horizontal="center" vertical="center"/>
    </xf>
    <xf numFmtId="0" fontId="6" fillId="12" borderId="21" xfId="0" applyFont="1" applyFill="1" applyBorder="1" applyAlignment="1">
      <alignment horizontal="center" vertical="center"/>
    </xf>
    <xf numFmtId="4" fontId="6" fillId="12" borderId="21" xfId="48" applyNumberFormat="1" applyFont="1" applyFill="1" applyBorder="1" applyAlignment="1">
      <alignment horizontal="center" vertical="center" wrapText="1"/>
    </xf>
    <xf numFmtId="4" fontId="6" fillId="12" borderId="21" xfId="61" applyNumberFormat="1" applyFont="1" applyFill="1" applyBorder="1" applyAlignment="1">
      <alignment horizontal="center"/>
      <protection/>
    </xf>
    <xf numFmtId="49" fontId="5" fillId="12" borderId="21" xfId="0" applyNumberFormat="1" applyFont="1" applyFill="1" applyBorder="1" applyAlignment="1">
      <alignment horizontal="center" vertical="center" wrapText="1"/>
    </xf>
    <xf numFmtId="0" fontId="36" fillId="12" borderId="21" xfId="0" applyFont="1" applyFill="1" applyBorder="1" applyAlignment="1">
      <alignment horizontal="center" vertical="center"/>
    </xf>
    <xf numFmtId="0" fontId="62" fillId="12" borderId="27" xfId="0" applyFont="1" applyFill="1" applyBorder="1" applyAlignment="1">
      <alignment horizontal="justify" vertical="center" wrapText="1"/>
    </xf>
    <xf numFmtId="0" fontId="5" fillId="12" borderId="21" xfId="0" applyFont="1" applyFill="1" applyBorder="1" applyAlignment="1">
      <alignment horizontal="center" vertical="center"/>
    </xf>
    <xf numFmtId="4" fontId="5" fillId="12" borderId="21" xfId="48" applyNumberFormat="1" applyFont="1" applyFill="1" applyBorder="1" applyAlignment="1">
      <alignment horizontal="center" vertical="center" wrapText="1"/>
    </xf>
    <xf numFmtId="4" fontId="5" fillId="12" borderId="21" xfId="61" applyNumberFormat="1" applyFont="1" applyFill="1" applyBorder="1" applyAlignment="1">
      <alignment horizontal="center"/>
      <protection/>
    </xf>
    <xf numFmtId="0" fontId="65" fillId="12" borderId="0" xfId="0" applyFont="1" applyFill="1" applyBorder="1" applyAlignment="1">
      <alignment/>
    </xf>
    <xf numFmtId="0" fontId="71" fillId="12" borderId="10" xfId="0" applyFont="1" applyFill="1" applyBorder="1" applyAlignment="1">
      <alignment horizontal="center" vertical="center"/>
    </xf>
    <xf numFmtId="0" fontId="71" fillId="12" borderId="10" xfId="0" applyFont="1" applyFill="1" applyBorder="1" applyAlignment="1">
      <alignment horizontal="center" vertical="justify" wrapText="1"/>
    </xf>
    <xf numFmtId="0" fontId="63" fillId="12" borderId="26" xfId="0" applyFont="1" applyFill="1" applyBorder="1" applyAlignment="1">
      <alignment horizontal="justify" vertical="center" wrapText="1"/>
    </xf>
    <xf numFmtId="0" fontId="6" fillId="12" borderId="27" xfId="0" applyFont="1" applyFill="1" applyBorder="1" applyAlignment="1">
      <alignment horizontal="justify" vertical="center" wrapText="1"/>
    </xf>
    <xf numFmtId="44" fontId="6" fillId="33" borderId="12" xfId="48" applyFont="1" applyFill="1" applyBorder="1" applyAlignment="1">
      <alignment horizontal="right"/>
    </xf>
    <xf numFmtId="44" fontId="6" fillId="33" borderId="15" xfId="48" applyFont="1" applyFill="1" applyBorder="1" applyAlignment="1">
      <alignment horizontal="right"/>
    </xf>
    <xf numFmtId="44" fontId="5" fillId="33" borderId="12" xfId="48" applyFont="1" applyFill="1" applyBorder="1" applyAlignment="1">
      <alignment horizontal="right"/>
    </xf>
    <xf numFmtId="44" fontId="6" fillId="33" borderId="20" xfId="48" applyFont="1" applyFill="1" applyBorder="1" applyAlignment="1">
      <alignment horizontal="right"/>
    </xf>
    <xf numFmtId="44" fontId="5" fillId="33" borderId="20" xfId="48" applyFont="1" applyFill="1" applyBorder="1" applyAlignment="1">
      <alignment horizontal="right"/>
    </xf>
    <xf numFmtId="44" fontId="6" fillId="12" borderId="10" xfId="48" applyFont="1" applyFill="1" applyBorder="1" applyAlignment="1">
      <alignment horizontal="center" vertical="center" wrapText="1"/>
    </xf>
    <xf numFmtId="44" fontId="6" fillId="12" borderId="10" xfId="48" applyFont="1" applyFill="1" applyBorder="1" applyAlignment="1">
      <alignment horizontal="center"/>
    </xf>
    <xf numFmtId="44" fontId="62" fillId="33" borderId="17" xfId="48" applyFont="1" applyFill="1" applyBorder="1" applyAlignment="1">
      <alignment horizontal="left"/>
    </xf>
    <xf numFmtId="44" fontId="62" fillId="33" borderId="0" xfId="48" applyFont="1" applyFill="1" applyBorder="1" applyAlignment="1">
      <alignment horizontal="left"/>
    </xf>
    <xf numFmtId="44" fontId="14" fillId="33" borderId="0" xfId="48" applyFont="1" applyFill="1" applyBorder="1" applyAlignment="1">
      <alignment horizontal="left" vertical="center"/>
    </xf>
    <xf numFmtId="44" fontId="14" fillId="33" borderId="0" xfId="48" applyFont="1" applyFill="1" applyBorder="1" applyAlignment="1">
      <alignment horizontal="left" vertical="center" wrapText="1" readingOrder="1"/>
    </xf>
    <xf numFmtId="44" fontId="14" fillId="33" borderId="0" xfId="48" applyFont="1" applyFill="1" applyBorder="1" applyAlignment="1">
      <alignment horizontal="left" vertical="center" wrapText="1"/>
    </xf>
    <xf numFmtId="44" fontId="69" fillId="33" borderId="0" xfId="48" applyFont="1" applyFill="1" applyBorder="1" applyAlignment="1">
      <alignment horizontal="left" vertical="center"/>
    </xf>
    <xf numFmtId="44" fontId="14" fillId="33" borderId="0" xfId="48" applyFont="1" applyFill="1" applyBorder="1" applyAlignment="1">
      <alignment horizontal="left"/>
    </xf>
    <xf numFmtId="44" fontId="63" fillId="33" borderId="0" xfId="48" applyFont="1" applyFill="1" applyBorder="1" applyAlignment="1">
      <alignment horizontal="center" vertical="center" wrapText="1"/>
    </xf>
    <xf numFmtId="44" fontId="5" fillId="0" borderId="10" xfId="48" applyFont="1" applyFill="1" applyBorder="1" applyAlignment="1">
      <alignment horizontal="center" vertical="center"/>
    </xf>
    <xf numFmtId="44" fontId="6" fillId="0" borderId="0" xfId="48" applyFont="1" applyBorder="1" applyAlignment="1">
      <alignment/>
    </xf>
    <xf numFmtId="0" fontId="6" fillId="33" borderId="12" xfId="0" applyFont="1" applyFill="1" applyBorder="1" applyAlignment="1">
      <alignment/>
    </xf>
    <xf numFmtId="0" fontId="6" fillId="33" borderId="17" xfId="0" applyFont="1" applyFill="1" applyBorder="1" applyAlignment="1">
      <alignment/>
    </xf>
    <xf numFmtId="4" fontId="6" fillId="12" borderId="10" xfId="61" applyNumberFormat="1" applyFont="1" applyFill="1" applyBorder="1" applyAlignment="1">
      <alignment horizontal="center" vertical="center"/>
      <protection/>
    </xf>
    <xf numFmtId="44" fontId="6" fillId="0" borderId="0" xfId="48" applyFont="1" applyFill="1" applyBorder="1" applyAlignment="1">
      <alignment horizontal="center" vertical="center" wrapText="1"/>
    </xf>
    <xf numFmtId="44" fontId="6" fillId="0" borderId="12" xfId="48" applyFont="1" applyFill="1" applyBorder="1" applyAlignment="1">
      <alignment horizontal="center" vertical="center" wrapText="1"/>
    </xf>
    <xf numFmtId="0" fontId="5" fillId="0" borderId="13" xfId="61" applyFont="1" applyFill="1" applyBorder="1" applyAlignment="1">
      <alignment horizontal="center"/>
      <protection/>
    </xf>
    <xf numFmtId="0" fontId="5" fillId="0" borderId="0" xfId="61" applyFont="1" applyFill="1" applyBorder="1" applyAlignment="1">
      <alignment horizontal="center" vertical="center" wrapText="1"/>
      <protection/>
    </xf>
    <xf numFmtId="0" fontId="62" fillId="0" borderId="0" xfId="0" applyFont="1" applyFill="1" applyBorder="1" applyAlignment="1">
      <alignment horizontal="justify" vertical="center" wrapText="1"/>
    </xf>
    <xf numFmtId="44" fontId="5" fillId="0" borderId="12" xfId="48" applyFont="1" applyFill="1" applyBorder="1" applyAlignment="1">
      <alignment horizontal="center" vertical="center" wrapText="1"/>
    </xf>
    <xf numFmtId="44" fontId="5" fillId="0" borderId="0" xfId="48" applyFont="1" applyFill="1" applyBorder="1" applyAlignment="1">
      <alignment horizontal="center" vertical="center" wrapText="1"/>
    </xf>
    <xf numFmtId="4" fontId="6" fillId="33" borderId="13" xfId="60" applyNumberFormat="1" applyFont="1" applyFill="1" applyBorder="1" applyAlignment="1">
      <alignment horizontal="left" vertical="center"/>
      <protection/>
    </xf>
    <xf numFmtId="4" fontId="6" fillId="33" borderId="0" xfId="60" applyNumberFormat="1" applyFont="1" applyFill="1" applyBorder="1" applyAlignment="1">
      <alignment horizontal="left" vertical="center"/>
      <protection/>
    </xf>
    <xf numFmtId="4" fontId="6" fillId="33" borderId="16" xfId="60" applyNumberFormat="1" applyFont="1" applyFill="1" applyBorder="1" applyAlignment="1">
      <alignment horizontal="left" vertical="center"/>
      <protection/>
    </xf>
    <xf numFmtId="0" fontId="36" fillId="12" borderId="10" xfId="0" applyFont="1" applyFill="1" applyBorder="1" applyAlignment="1">
      <alignment horizontal="center" vertical="center"/>
    </xf>
    <xf numFmtId="0" fontId="62" fillId="12" borderId="26" xfId="0" applyFont="1" applyFill="1" applyBorder="1" applyAlignment="1">
      <alignment horizontal="justify" vertical="center" wrapText="1"/>
    </xf>
    <xf numFmtId="44" fontId="5" fillId="33" borderId="24" xfId="48" applyFont="1" applyFill="1" applyBorder="1" applyAlignment="1">
      <alignment horizontal="center"/>
    </xf>
    <xf numFmtId="44" fontId="5" fillId="38" borderId="0" xfId="48" applyFont="1" applyFill="1" applyBorder="1" applyAlignment="1">
      <alignment horizontal="center"/>
    </xf>
    <xf numFmtId="49" fontId="5" fillId="38" borderId="24" xfId="0" applyNumberFormat="1" applyFont="1" applyFill="1" applyBorder="1" applyAlignment="1">
      <alignment horizontal="center" vertical="center" wrapText="1"/>
    </xf>
    <xf numFmtId="49" fontId="5" fillId="38" borderId="20" xfId="0" applyNumberFormat="1" applyFont="1" applyFill="1" applyBorder="1" applyAlignment="1">
      <alignment horizontal="center" vertical="center" wrapText="1"/>
    </xf>
    <xf numFmtId="0" fontId="62" fillId="38" borderId="28" xfId="0" applyFont="1" applyFill="1" applyBorder="1" applyAlignment="1">
      <alignment horizontal="justify" vertical="center" wrapText="1"/>
    </xf>
    <xf numFmtId="0" fontId="5" fillId="38" borderId="20" xfId="0" applyFont="1" applyFill="1" applyBorder="1" applyAlignment="1">
      <alignment horizontal="center" vertical="center"/>
    </xf>
    <xf numFmtId="4" fontId="5" fillId="38" borderId="20" xfId="48" applyNumberFormat="1" applyFont="1" applyFill="1" applyBorder="1" applyAlignment="1">
      <alignment horizontal="center" vertical="center" wrapText="1"/>
    </xf>
    <xf numFmtId="44" fontId="5" fillId="38" borderId="20" xfId="48" applyFont="1" applyFill="1" applyBorder="1" applyAlignment="1">
      <alignment horizontal="center"/>
    </xf>
    <xf numFmtId="0" fontId="5" fillId="38" borderId="20" xfId="0" applyFont="1" applyFill="1" applyBorder="1" applyAlignment="1">
      <alignment horizontal="left"/>
    </xf>
    <xf numFmtId="0" fontId="62" fillId="38" borderId="29" xfId="0" applyFont="1" applyFill="1" applyBorder="1" applyAlignment="1">
      <alignment horizontal="justify" vertical="center" wrapText="1"/>
    </xf>
    <xf numFmtId="0" fontId="64" fillId="38" borderId="0" xfId="0" applyFont="1" applyFill="1" applyAlignment="1">
      <alignment/>
    </xf>
    <xf numFmtId="49" fontId="5" fillId="38" borderId="0" xfId="0" applyNumberFormat="1" applyFont="1" applyFill="1" applyBorder="1" applyAlignment="1">
      <alignment horizontal="center" vertical="center" wrapText="1"/>
    </xf>
    <xf numFmtId="0" fontId="5" fillId="38" borderId="20" xfId="0" applyFont="1" applyFill="1" applyBorder="1" applyAlignment="1">
      <alignment horizontal="justify" vertical="center" wrapText="1"/>
    </xf>
    <xf numFmtId="0" fontId="6" fillId="33" borderId="24" xfId="0" applyFont="1" applyFill="1" applyBorder="1" applyAlignment="1">
      <alignment/>
    </xf>
    <xf numFmtId="0" fontId="6" fillId="0" borderId="11" xfId="61" applyFont="1" applyFill="1" applyBorder="1" applyAlignment="1">
      <alignment horizontal="center"/>
      <protection/>
    </xf>
    <xf numFmtId="0" fontId="6" fillId="0" borderId="12" xfId="61" applyFont="1" applyFill="1" applyBorder="1" applyAlignment="1">
      <alignment horizontal="center" vertical="center" wrapText="1"/>
      <protection/>
    </xf>
    <xf numFmtId="0" fontId="6" fillId="0" borderId="12" xfId="0" applyFont="1" applyFill="1" applyBorder="1" applyAlignment="1">
      <alignment horizontal="center" vertical="center"/>
    </xf>
    <xf numFmtId="4" fontId="6" fillId="0" borderId="12" xfId="0" applyNumberFormat="1" applyFont="1" applyFill="1" applyBorder="1" applyAlignment="1">
      <alignment horizontal="center" vertical="center"/>
    </xf>
    <xf numFmtId="4" fontId="6" fillId="0" borderId="12" xfId="61" applyNumberFormat="1" applyFont="1" applyFill="1" applyBorder="1" applyAlignment="1">
      <alignment horizontal="center"/>
      <protection/>
    </xf>
    <xf numFmtId="44" fontId="6" fillId="0" borderId="0" xfId="48" applyFont="1" applyFill="1" applyBorder="1" applyAlignment="1">
      <alignment horizontal="right"/>
    </xf>
    <xf numFmtId="0" fontId="5" fillId="0" borderId="10" xfId="61" applyFont="1" applyFill="1" applyBorder="1" applyAlignment="1">
      <alignment horizontal="center" vertical="center" wrapText="1"/>
      <protection/>
    </xf>
    <xf numFmtId="0" fontId="34" fillId="0" borderId="19" xfId="0" applyFont="1" applyFill="1" applyBorder="1" applyAlignment="1">
      <alignment horizontal="center" vertical="justify" wrapText="1"/>
    </xf>
    <xf numFmtId="0" fontId="6" fillId="33" borderId="24" xfId="0" applyFont="1" applyFill="1" applyBorder="1" applyAlignment="1">
      <alignment horizontal="center"/>
    </xf>
    <xf numFmtId="0" fontId="6" fillId="33" borderId="20" xfId="0" applyFont="1" applyFill="1" applyBorder="1" applyAlignment="1">
      <alignment horizontal="center"/>
    </xf>
    <xf numFmtId="0" fontId="6" fillId="33" borderId="25" xfId="0" applyFont="1" applyFill="1" applyBorder="1" applyAlignment="1">
      <alignment horizontal="center"/>
    </xf>
    <xf numFmtId="0" fontId="5" fillId="33" borderId="10" xfId="0" applyFont="1" applyFill="1" applyBorder="1" applyAlignment="1">
      <alignment horizontal="center"/>
    </xf>
    <xf numFmtId="0" fontId="6" fillId="33" borderId="10" xfId="0" applyFont="1" applyFill="1" applyBorder="1" applyAlignment="1">
      <alignment horizontal="center"/>
    </xf>
    <xf numFmtId="0" fontId="5" fillId="33" borderId="24" xfId="0" applyFont="1" applyFill="1" applyBorder="1" applyAlignment="1">
      <alignment horizontal="center"/>
    </xf>
    <xf numFmtId="0" fontId="5" fillId="33" borderId="20" xfId="0" applyFont="1" applyFill="1" applyBorder="1" applyAlignment="1">
      <alignment horizontal="center"/>
    </xf>
    <xf numFmtId="0" fontId="5" fillId="33" borderId="25" xfId="0" applyFont="1" applyFill="1" applyBorder="1" applyAlignment="1">
      <alignment horizontal="center"/>
    </xf>
    <xf numFmtId="0" fontId="6" fillId="33" borderId="11" xfId="0" applyFont="1" applyFill="1" applyBorder="1" applyAlignment="1">
      <alignment horizontal="center"/>
    </xf>
    <xf numFmtId="0" fontId="6" fillId="33" borderId="12" xfId="0" applyFont="1" applyFill="1" applyBorder="1" applyAlignment="1">
      <alignment horizontal="center"/>
    </xf>
    <xf numFmtId="0" fontId="6" fillId="33" borderId="17" xfId="0" applyFont="1" applyFill="1" applyBorder="1" applyAlignment="1">
      <alignment horizontal="center"/>
    </xf>
    <xf numFmtId="49" fontId="62" fillId="33" borderId="10" xfId="59" applyNumberFormat="1" applyFont="1" applyFill="1" applyBorder="1" applyAlignment="1">
      <alignment horizontal="center" vertical="center" wrapText="1"/>
      <protection/>
    </xf>
    <xf numFmtId="0" fontId="63" fillId="33" borderId="10" xfId="0" applyFont="1" applyFill="1" applyBorder="1" applyAlignment="1">
      <alignment horizontal="center" vertical="center" wrapText="1"/>
    </xf>
    <xf numFmtId="0" fontId="63" fillId="33" borderId="24" xfId="0" applyFont="1" applyFill="1" applyBorder="1" applyAlignment="1">
      <alignment horizontal="center" vertical="center" wrapText="1"/>
    </xf>
    <xf numFmtId="0" fontId="5" fillId="0" borderId="10" xfId="0" applyFont="1" applyFill="1" applyBorder="1" applyAlignment="1">
      <alignment horizontal="center" vertical="center"/>
    </xf>
    <xf numFmtId="0" fontId="6" fillId="33" borderId="13" xfId="0" applyFont="1" applyFill="1" applyBorder="1" applyAlignment="1">
      <alignment horizontal="left" vertical="center" wrapText="1" readingOrder="1"/>
    </xf>
    <xf numFmtId="0" fontId="6" fillId="33" borderId="0" xfId="0" applyFont="1" applyFill="1" applyBorder="1" applyAlignment="1">
      <alignment horizontal="left" vertical="center" wrapText="1" readingOrder="1"/>
    </xf>
    <xf numFmtId="0" fontId="6" fillId="33" borderId="16" xfId="0" applyFont="1" applyFill="1" applyBorder="1" applyAlignment="1">
      <alignment horizontal="left" vertical="center" wrapText="1" readingOrder="1"/>
    </xf>
    <xf numFmtId="0" fontId="6" fillId="33" borderId="13"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6" fillId="33" borderId="16" xfId="0" applyFont="1" applyFill="1" applyBorder="1" applyAlignment="1">
      <alignment horizontal="left" vertical="center" wrapText="1"/>
    </xf>
    <xf numFmtId="4" fontId="63" fillId="33" borderId="13" xfId="54" applyNumberFormat="1" applyFont="1" applyFill="1" applyBorder="1" applyAlignment="1">
      <alignment horizontal="left" vertical="center"/>
      <protection/>
    </xf>
    <xf numFmtId="4" fontId="63" fillId="33" borderId="0" xfId="54" applyNumberFormat="1" applyFont="1" applyFill="1" applyBorder="1" applyAlignment="1">
      <alignment horizontal="left" vertical="center"/>
      <protection/>
    </xf>
    <xf numFmtId="4" fontId="63" fillId="33" borderId="16" xfId="54" applyNumberFormat="1" applyFont="1" applyFill="1" applyBorder="1" applyAlignment="1">
      <alignment horizontal="left" vertical="center"/>
      <protection/>
    </xf>
    <xf numFmtId="0" fontId="6" fillId="33" borderId="14" xfId="60" applyFont="1" applyFill="1" applyBorder="1" applyAlignment="1">
      <alignment horizontal="left"/>
      <protection/>
    </xf>
    <xf numFmtId="0" fontId="6" fillId="33" borderId="15" xfId="60" applyFont="1" applyFill="1" applyBorder="1" applyAlignment="1">
      <alignment horizontal="left"/>
      <protection/>
    </xf>
    <xf numFmtId="0" fontId="6" fillId="33" borderId="18" xfId="60" applyFont="1" applyFill="1" applyBorder="1" applyAlignment="1">
      <alignment horizontal="left"/>
      <protection/>
    </xf>
    <xf numFmtId="0" fontId="5" fillId="0"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30" xfId="0"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 fontId="5" fillId="0" borderId="13" xfId="0" applyNumberFormat="1" applyFont="1" applyFill="1" applyBorder="1" applyAlignment="1">
      <alignment horizontal="center" vertical="center"/>
    </xf>
    <xf numFmtId="4" fontId="5" fillId="0" borderId="0" xfId="0" applyNumberFormat="1" applyFont="1" applyFill="1" applyBorder="1" applyAlignment="1">
      <alignment horizontal="center" vertical="center"/>
    </xf>
    <xf numFmtId="4" fontId="69" fillId="0" borderId="13" xfId="60" applyNumberFormat="1" applyFont="1" applyFill="1" applyBorder="1" applyAlignment="1">
      <alignment horizontal="center" vertical="center" wrapText="1"/>
      <protection/>
    </xf>
    <xf numFmtId="4" fontId="69" fillId="0" borderId="0" xfId="60" applyNumberFormat="1" applyFont="1" applyFill="1" applyBorder="1" applyAlignment="1">
      <alignment horizontal="center" vertical="center" wrapText="1"/>
      <protection/>
    </xf>
    <xf numFmtId="0" fontId="9" fillId="0" borderId="24" xfId="56" applyFont="1" applyBorder="1" applyAlignment="1">
      <alignment horizontal="center"/>
      <protection/>
    </xf>
    <xf numFmtId="0" fontId="9" fillId="0" borderId="25" xfId="56" applyFont="1" applyBorder="1" applyAlignment="1">
      <alignment horizontal="center"/>
      <protection/>
    </xf>
    <xf numFmtId="0" fontId="10" fillId="0" borderId="24"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25" xfId="60" applyFont="1" applyFill="1" applyBorder="1" applyAlignment="1">
      <alignment horizontal="center" vertical="center" wrapText="1"/>
      <protection/>
    </xf>
    <xf numFmtId="0" fontId="9" fillId="0" borderId="20" xfId="56" applyFont="1" applyBorder="1" applyAlignment="1">
      <alignment horizontal="center"/>
      <protection/>
    </xf>
    <xf numFmtId="0" fontId="9" fillId="0" borderId="19" xfId="56" applyFont="1" applyBorder="1" applyAlignment="1">
      <alignment horizontal="center" wrapText="1"/>
      <protection/>
    </xf>
    <xf numFmtId="0" fontId="9" fillId="0" borderId="21" xfId="56" applyFont="1" applyBorder="1" applyAlignment="1">
      <alignment horizontal="center" wrapText="1"/>
      <protection/>
    </xf>
    <xf numFmtId="0" fontId="9" fillId="0" borderId="22" xfId="56" applyFont="1" applyBorder="1" applyAlignment="1">
      <alignment horizontal="center" wrapText="1"/>
      <protection/>
    </xf>
    <xf numFmtId="0" fontId="5" fillId="0" borderId="10" xfId="57" applyFont="1" applyFill="1" applyBorder="1" applyAlignment="1">
      <alignment horizontal="center" vertical="top"/>
      <protection/>
    </xf>
    <xf numFmtId="44" fontId="12" fillId="0" borderId="11" xfId="54" applyNumberFormat="1" applyFont="1" applyBorder="1" applyAlignment="1">
      <alignment horizontal="center" vertical="center" wrapText="1" readingOrder="1"/>
      <protection/>
    </xf>
    <xf numFmtId="44" fontId="12" fillId="0" borderId="12" xfId="54" applyNumberFormat="1" applyFont="1" applyBorder="1" applyAlignment="1">
      <alignment horizontal="center" vertical="center" wrapText="1" readingOrder="1"/>
      <protection/>
    </xf>
    <xf numFmtId="44" fontId="12" fillId="0" borderId="13" xfId="54" applyNumberFormat="1" applyFont="1" applyBorder="1" applyAlignment="1">
      <alignment horizontal="center" vertical="center" wrapText="1" readingOrder="1"/>
      <protection/>
    </xf>
    <xf numFmtId="44" fontId="12" fillId="0" borderId="0" xfId="54" applyNumberFormat="1" applyFont="1" applyBorder="1" applyAlignment="1">
      <alignment horizontal="center" vertical="center" wrapText="1" readingOrder="1"/>
      <protection/>
    </xf>
    <xf numFmtId="0" fontId="14" fillId="0" borderId="13" xfId="60" applyFont="1" applyFill="1" applyBorder="1" applyAlignment="1">
      <alignment horizontal="center"/>
      <protection/>
    </xf>
    <xf numFmtId="0" fontId="14" fillId="0" borderId="0" xfId="60" applyFont="1" applyFill="1" applyBorder="1" applyAlignment="1">
      <alignment horizontal="center"/>
      <protection/>
    </xf>
    <xf numFmtId="4" fontId="69" fillId="0" borderId="13" xfId="54" applyNumberFormat="1" applyFont="1" applyFill="1" applyBorder="1" applyAlignment="1">
      <alignment horizontal="center" vertical="center" wrapText="1"/>
      <protection/>
    </xf>
    <xf numFmtId="4" fontId="69" fillId="0" borderId="0" xfId="54" applyNumberFormat="1" applyFont="1" applyFill="1" applyBorder="1" applyAlignment="1">
      <alignment horizontal="center" vertical="center" wrapText="1"/>
      <protection/>
    </xf>
    <xf numFmtId="4" fontId="69" fillId="0" borderId="14" xfId="60" applyNumberFormat="1" applyFont="1" applyFill="1" applyBorder="1" applyAlignment="1">
      <alignment horizontal="center" vertical="center" wrapText="1"/>
      <protection/>
    </xf>
    <xf numFmtId="4" fontId="69" fillId="0" borderId="15" xfId="60" applyNumberFormat="1" applyFont="1" applyFill="1" applyBorder="1" applyAlignment="1">
      <alignment horizontal="center" vertical="center" wrapText="1"/>
      <protection/>
    </xf>
    <xf numFmtId="4" fontId="14" fillId="0" borderId="13" xfId="54" applyNumberFormat="1" applyFont="1" applyFill="1" applyBorder="1" applyAlignment="1">
      <alignment horizontal="center" vertical="center" wrapText="1" readingOrder="1"/>
      <protection/>
    </xf>
    <xf numFmtId="4" fontId="14" fillId="0" borderId="0" xfId="54" applyNumberFormat="1" applyFont="1" applyFill="1" applyBorder="1" applyAlignment="1">
      <alignment horizontal="center" vertical="center" wrapText="1" readingOrder="1"/>
      <protection/>
    </xf>
    <xf numFmtId="0" fontId="5" fillId="0" borderId="24" xfId="56" applyFont="1" applyBorder="1" applyAlignment="1">
      <alignment horizontal="left" vertical="top"/>
      <protection/>
    </xf>
    <xf numFmtId="0" fontId="5" fillId="0" borderId="25" xfId="56" applyFont="1" applyBorder="1" applyAlignment="1">
      <alignment horizontal="left" vertical="top"/>
      <protection/>
    </xf>
    <xf numFmtId="39" fontId="5" fillId="0" borderId="24" xfId="56" applyNumberFormat="1" applyFont="1" applyBorder="1" applyAlignment="1">
      <alignment horizontal="center"/>
      <protection/>
    </xf>
    <xf numFmtId="39" fontId="5" fillId="0" borderId="25" xfId="56" applyNumberFormat="1" applyFont="1" applyBorder="1" applyAlignment="1">
      <alignment horizontal="center"/>
      <protection/>
    </xf>
    <xf numFmtId="4" fontId="5" fillId="0" borderId="24" xfId="58" applyNumberFormat="1" applyFont="1" applyBorder="1" applyAlignment="1">
      <alignment horizontal="center"/>
      <protection/>
    </xf>
    <xf numFmtId="4" fontId="5" fillId="0" borderId="25" xfId="58" applyNumberFormat="1" applyFont="1" applyBorder="1" applyAlignment="1">
      <alignment horizontal="center"/>
      <protection/>
    </xf>
    <xf numFmtId="10" fontId="5" fillId="0" borderId="24" xfId="64" applyNumberFormat="1" applyFont="1" applyBorder="1" applyAlignment="1">
      <alignment horizontal="center"/>
    </xf>
    <xf numFmtId="10" fontId="5" fillId="0" borderId="25" xfId="64" applyNumberFormat="1" applyFont="1" applyBorder="1" applyAlignment="1">
      <alignment horizontal="center"/>
    </xf>
    <xf numFmtId="1" fontId="5" fillId="0" borderId="24" xfId="56" applyNumberFormat="1" applyFont="1" applyBorder="1" applyAlignment="1">
      <alignment horizontal="left" vertical="top"/>
      <protection/>
    </xf>
    <xf numFmtId="1" fontId="5" fillId="0" borderId="25" xfId="56" applyNumberFormat="1" applyFont="1" applyBorder="1" applyAlignment="1">
      <alignment horizontal="left" vertical="top"/>
      <protection/>
    </xf>
  </cellXfs>
  <cellStyles count="6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uro" xfId="44"/>
    <cellStyle name="Hyperlink" xfId="45"/>
    <cellStyle name="Followed Hyperlink" xfId="46"/>
    <cellStyle name="Incorreto" xfId="47"/>
    <cellStyle name="Currency" xfId="48"/>
    <cellStyle name="Currency [0]" xfId="49"/>
    <cellStyle name="Moeda 2" xfId="50"/>
    <cellStyle name="Neutra" xfId="51"/>
    <cellStyle name="Normal 2" xfId="52"/>
    <cellStyle name="Normal 2 2" xfId="53"/>
    <cellStyle name="Normal 2 3" xfId="54"/>
    <cellStyle name="Normal 3" xfId="55"/>
    <cellStyle name="Normal_CRONOGRAMA" xfId="56"/>
    <cellStyle name="Normal_CRUZEI~1" xfId="57"/>
    <cellStyle name="Normal_Orçamento nº057-2003- Esc. Munic. AMPARO revisão" xfId="58"/>
    <cellStyle name="Normal_P_Getulio Vargas" xfId="59"/>
    <cellStyle name="Normal_P_Getulio Vargas 2" xfId="60"/>
    <cellStyle name="Normal_RUAS 3,4,7 e 8 R-1 2" xfId="61"/>
    <cellStyle name="Nota" xfId="62"/>
    <cellStyle name="Percent" xfId="63"/>
    <cellStyle name="Porcentagem 2" xfId="64"/>
    <cellStyle name="Porcentagem 3" xfId="65"/>
    <cellStyle name="Saída" xfId="66"/>
    <cellStyle name="Comma [0]" xfId="67"/>
    <cellStyle name="Texto de Aviso" xfId="68"/>
    <cellStyle name="Texto Explicativo" xfId="69"/>
    <cellStyle name="Título" xfId="70"/>
    <cellStyle name="Título 1" xfId="71"/>
    <cellStyle name="Título 2" xfId="72"/>
    <cellStyle name="Título 3" xfId="73"/>
    <cellStyle name="Título 4" xfId="74"/>
    <cellStyle name="Total" xfId="75"/>
    <cellStyle name="Comma" xfId="76"/>
    <cellStyle name="Vírgula 2" xfId="77"/>
    <cellStyle name="Vírgula 3"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0</xdr:row>
      <xdr:rowOff>304800</xdr:rowOff>
    </xdr:from>
    <xdr:to>
      <xdr:col>1</xdr:col>
      <xdr:colOff>2076450</xdr:colOff>
      <xdr:row>6</xdr:row>
      <xdr:rowOff>266700</xdr:rowOff>
    </xdr:to>
    <xdr:pic>
      <xdr:nvPicPr>
        <xdr:cNvPr id="1" name="Picture 2"/>
        <xdr:cNvPicPr preferRelativeResize="1">
          <a:picLocks noChangeAspect="1"/>
        </xdr:cNvPicPr>
      </xdr:nvPicPr>
      <xdr:blipFill>
        <a:blip r:embed="rId1"/>
        <a:stretch>
          <a:fillRect/>
        </a:stretch>
      </xdr:blipFill>
      <xdr:spPr>
        <a:xfrm>
          <a:off x="1638300" y="304800"/>
          <a:ext cx="1628775" cy="1733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0</xdr:row>
      <xdr:rowOff>304800</xdr:rowOff>
    </xdr:from>
    <xdr:to>
      <xdr:col>1</xdr:col>
      <xdr:colOff>2076450</xdr:colOff>
      <xdr:row>6</xdr:row>
      <xdr:rowOff>266700</xdr:rowOff>
    </xdr:to>
    <xdr:pic>
      <xdr:nvPicPr>
        <xdr:cNvPr id="1" name="Picture 2"/>
        <xdr:cNvPicPr preferRelativeResize="1">
          <a:picLocks noChangeAspect="1"/>
        </xdr:cNvPicPr>
      </xdr:nvPicPr>
      <xdr:blipFill>
        <a:blip r:embed="rId1"/>
        <a:stretch>
          <a:fillRect/>
        </a:stretch>
      </xdr:blipFill>
      <xdr:spPr>
        <a:xfrm>
          <a:off x="1638300" y="304800"/>
          <a:ext cx="1628775" cy="1733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57150</xdr:rowOff>
    </xdr:from>
    <xdr:to>
      <xdr:col>10</xdr:col>
      <xdr:colOff>1695450</xdr:colOff>
      <xdr:row>7</xdr:row>
      <xdr:rowOff>323850</xdr:rowOff>
    </xdr:to>
    <xdr:pic>
      <xdr:nvPicPr>
        <xdr:cNvPr id="1" name="Picture 2"/>
        <xdr:cNvPicPr preferRelativeResize="1">
          <a:picLocks noChangeAspect="1"/>
        </xdr:cNvPicPr>
      </xdr:nvPicPr>
      <xdr:blipFill>
        <a:blip r:embed="rId1"/>
        <a:stretch>
          <a:fillRect/>
        </a:stretch>
      </xdr:blipFill>
      <xdr:spPr>
        <a:xfrm>
          <a:off x="13535025" y="57150"/>
          <a:ext cx="1695450" cy="2447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alfredo.cunha\Documents\Meus%20Documentos\ALFREDO\QUADRA%20PARQUE%20INDEPEND&#202;NCIA\Or&#231;amento%20n&#186;0xx-2014_%20Constru&#231;&#227;o%20de%20Quadra%20Poliesportiva%20Coberta%20Parque%20Independ&#234;nc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MÓRIA"/>
      <sheetName val="EMOP"/>
      <sheetName val="SUSESP"/>
      <sheetName val="SUSESP SP"/>
      <sheetName val="Cronograma "/>
      <sheetName val="Cronograma  s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Plan1"/>
  <dimension ref="A1:M968"/>
  <sheetViews>
    <sheetView view="pageBreakPreview" zoomScale="60" zoomScalePageLayoutView="0" workbookViewId="0" topLeftCell="A1">
      <selection activeCell="C1" sqref="C1"/>
    </sheetView>
  </sheetViews>
  <sheetFormatPr defaultColWidth="9.140625" defaultRowHeight="15"/>
  <cols>
    <col min="1" max="1" width="17.8515625" style="34" customWidth="1"/>
    <col min="2" max="2" width="39.8515625" style="34" bestFit="1" customWidth="1"/>
    <col min="3" max="3" width="139.8515625" style="35" customWidth="1"/>
    <col min="4" max="4" width="12.7109375" style="34" bestFit="1" customWidth="1"/>
    <col min="5" max="5" width="20.7109375" style="173" bestFit="1" customWidth="1"/>
    <col min="6" max="6" width="15.7109375" style="36" bestFit="1" customWidth="1"/>
    <col min="7" max="7" width="18.57421875" style="37" customWidth="1"/>
    <col min="8" max="8" width="21.421875" style="37" bestFit="1" customWidth="1"/>
    <col min="9" max="9" width="21.7109375" style="37" bestFit="1" customWidth="1"/>
    <col min="10" max="10" width="23.28125" style="12" customWidth="1"/>
    <col min="11" max="11" width="19.57421875" style="12" bestFit="1" customWidth="1"/>
    <col min="12" max="12" width="10.57421875" style="60" bestFit="1" customWidth="1"/>
    <col min="13" max="16384" width="9.140625" style="60" customWidth="1"/>
  </cols>
  <sheetData>
    <row r="1" spans="1:12" s="12" customFormat="1" ht="26.25">
      <c r="A1" s="10"/>
      <c r="B1" s="11"/>
      <c r="C1" s="84" t="s">
        <v>35</v>
      </c>
      <c r="D1" s="39"/>
      <c r="E1" s="40"/>
      <c r="F1" s="41"/>
      <c r="G1" s="246"/>
      <c r="H1" s="247"/>
      <c r="I1" s="247"/>
      <c r="J1" s="60"/>
      <c r="K1" s="60"/>
      <c r="L1" s="60"/>
    </row>
    <row r="2" spans="1:12" s="12" customFormat="1" ht="26.25">
      <c r="A2" s="13"/>
      <c r="B2" s="14"/>
      <c r="C2" s="85" t="s">
        <v>36</v>
      </c>
      <c r="D2" s="266" t="s">
        <v>1036</v>
      </c>
      <c r="E2" s="267"/>
      <c r="F2" s="267"/>
      <c r="G2" s="268"/>
      <c r="H2" s="247"/>
      <c r="I2" s="247"/>
      <c r="J2" s="60"/>
      <c r="K2" s="60"/>
      <c r="L2" s="60"/>
    </row>
    <row r="3" spans="1:12" s="12" customFormat="1" ht="26.25">
      <c r="A3" s="13"/>
      <c r="B3" s="14"/>
      <c r="C3" s="85" t="s">
        <v>37</v>
      </c>
      <c r="D3" s="308" t="s">
        <v>1034</v>
      </c>
      <c r="E3" s="309"/>
      <c r="F3" s="309"/>
      <c r="G3" s="310"/>
      <c r="H3" s="248"/>
      <c r="I3" s="248"/>
      <c r="J3" s="91"/>
      <c r="K3" s="91"/>
      <c r="L3" s="60"/>
    </row>
    <row r="4" spans="1:12" s="12" customFormat="1" ht="18.75" customHeight="1">
      <c r="A4" s="13"/>
      <c r="B4" s="14"/>
      <c r="C4" s="95" t="s">
        <v>323</v>
      </c>
      <c r="D4" s="308" t="s">
        <v>958</v>
      </c>
      <c r="E4" s="309"/>
      <c r="F4" s="309"/>
      <c r="G4" s="310"/>
      <c r="H4" s="249"/>
      <c r="I4" s="249"/>
      <c r="J4" s="90"/>
      <c r="K4" s="90"/>
      <c r="L4" s="60"/>
    </row>
    <row r="5" spans="1:12" s="12" customFormat="1" ht="18.75" customHeight="1">
      <c r="A5" s="13"/>
      <c r="B5" s="14"/>
      <c r="C5" s="95" t="s">
        <v>842</v>
      </c>
      <c r="D5" s="311" t="s">
        <v>324</v>
      </c>
      <c r="E5" s="312"/>
      <c r="F5" s="312"/>
      <c r="G5" s="313"/>
      <c r="H5" s="250"/>
      <c r="I5" s="250"/>
      <c r="J5" s="89"/>
      <c r="K5" s="89"/>
      <c r="L5" s="60"/>
    </row>
    <row r="6" spans="1:12" s="12" customFormat="1" ht="23.25">
      <c r="A6" s="13"/>
      <c r="B6" s="14"/>
      <c r="C6" s="86" t="s">
        <v>1035</v>
      </c>
      <c r="D6" s="314" t="s">
        <v>325</v>
      </c>
      <c r="E6" s="315"/>
      <c r="F6" s="315"/>
      <c r="G6" s="316"/>
      <c r="H6" s="251"/>
      <c r="I6" s="251"/>
      <c r="J6" s="88"/>
      <c r="K6" s="88"/>
      <c r="L6" s="60"/>
    </row>
    <row r="7" spans="1:12" s="12" customFormat="1" ht="23.25">
      <c r="A7" s="13"/>
      <c r="B7" s="14"/>
      <c r="C7" s="87"/>
      <c r="D7" s="314" t="s">
        <v>69</v>
      </c>
      <c r="E7" s="315"/>
      <c r="F7" s="315"/>
      <c r="G7" s="316"/>
      <c r="H7" s="251"/>
      <c r="I7" s="251"/>
      <c r="J7" s="88"/>
      <c r="K7" s="88"/>
      <c r="L7" s="60"/>
    </row>
    <row r="8" spans="1:12" s="12" customFormat="1" ht="20.25">
      <c r="A8" s="15"/>
      <c r="B8" s="16"/>
      <c r="C8" s="17"/>
      <c r="D8" s="317" t="s">
        <v>843</v>
      </c>
      <c r="E8" s="318"/>
      <c r="F8" s="318"/>
      <c r="G8" s="319"/>
      <c r="H8" s="252"/>
      <c r="I8" s="252"/>
      <c r="J8" s="92"/>
      <c r="K8" s="92"/>
      <c r="L8" s="60"/>
    </row>
    <row r="9" spans="1:11" ht="18.75">
      <c r="A9" s="304" t="s">
        <v>72</v>
      </c>
      <c r="B9" s="305"/>
      <c r="C9" s="305"/>
      <c r="D9" s="305"/>
      <c r="E9" s="305"/>
      <c r="F9" s="305"/>
      <c r="G9" s="306"/>
      <c r="H9" s="253"/>
      <c r="I9" s="253"/>
      <c r="J9" s="60"/>
      <c r="K9" s="60"/>
    </row>
    <row r="10" spans="1:9" ht="18.75">
      <c r="A10" s="307" t="s">
        <v>1</v>
      </c>
      <c r="B10" s="320" t="s">
        <v>70</v>
      </c>
      <c r="C10" s="320" t="s">
        <v>2</v>
      </c>
      <c r="D10" s="307" t="s">
        <v>0</v>
      </c>
      <c r="E10" s="323" t="s">
        <v>3</v>
      </c>
      <c r="F10" s="324" t="s">
        <v>6</v>
      </c>
      <c r="G10" s="325"/>
      <c r="H10" s="325"/>
      <c r="I10" s="325"/>
    </row>
    <row r="11" spans="1:9" ht="19.5" thickBot="1">
      <c r="A11" s="307"/>
      <c r="B11" s="321"/>
      <c r="C11" s="322"/>
      <c r="D11" s="307"/>
      <c r="E11" s="323"/>
      <c r="F11" s="9" t="s">
        <v>4</v>
      </c>
      <c r="G11" s="254" t="s">
        <v>105</v>
      </c>
      <c r="H11" s="254" t="s">
        <v>844</v>
      </c>
      <c r="I11" s="254" t="s">
        <v>104</v>
      </c>
    </row>
    <row r="12" spans="1:11" s="152" customFormat="1" ht="18.75">
      <c r="A12" s="273" t="s">
        <v>16</v>
      </c>
      <c r="B12" s="282"/>
      <c r="C12" s="283" t="s">
        <v>50</v>
      </c>
      <c r="D12" s="276"/>
      <c r="E12" s="277"/>
      <c r="F12" s="279"/>
      <c r="G12" s="278"/>
      <c r="H12" s="278"/>
      <c r="I12" s="272"/>
      <c r="J12" s="281"/>
      <c r="K12" s="151"/>
    </row>
    <row r="13" spans="1:9" s="154" customFormat="1" ht="36">
      <c r="A13" s="154" t="s">
        <v>21</v>
      </c>
      <c r="B13" s="154" t="s">
        <v>94</v>
      </c>
      <c r="C13" s="154" t="s">
        <v>845</v>
      </c>
      <c r="D13" s="154" t="s">
        <v>44</v>
      </c>
      <c r="E13" s="177">
        <v>12</v>
      </c>
      <c r="F13" s="244">
        <f>TRUNC(G22,2)</f>
        <v>321.02</v>
      </c>
      <c r="G13" s="244">
        <f>TRUNC(F13*1.2882,2)</f>
        <v>413.53</v>
      </c>
      <c r="H13" s="244">
        <f>TRUNC(F13*E13,2)</f>
        <v>3852.24</v>
      </c>
      <c r="I13" s="244">
        <f>TRUNC(E13*G13,2)</f>
        <v>4962.36</v>
      </c>
    </row>
    <row r="14" spans="1:11" ht="36">
      <c r="A14" s="20"/>
      <c r="B14" s="21" t="s">
        <v>54</v>
      </c>
      <c r="C14" s="103" t="s">
        <v>102</v>
      </c>
      <c r="D14" s="22" t="s">
        <v>46</v>
      </c>
      <c r="E14" s="164">
        <v>0.3</v>
      </c>
      <c r="F14" s="24">
        <f>TRUNC(8.55,2)</f>
        <v>8.55</v>
      </c>
      <c r="G14" s="128">
        <f aca="true" t="shared" si="0" ref="G14:G21">TRUNC(E14*F14,2)</f>
        <v>2.56</v>
      </c>
      <c r="H14" s="128"/>
      <c r="I14" s="128"/>
      <c r="K14" s="55"/>
    </row>
    <row r="15" spans="1:11" ht="18.75">
      <c r="A15" s="20"/>
      <c r="B15" s="21" t="s">
        <v>53</v>
      </c>
      <c r="C15" s="103" t="s">
        <v>846</v>
      </c>
      <c r="D15" s="22" t="s">
        <v>52</v>
      </c>
      <c r="E15" s="164">
        <v>9.2</v>
      </c>
      <c r="F15" s="24">
        <f>TRUNC(3.796,2)</f>
        <v>3.79</v>
      </c>
      <c r="G15" s="128">
        <f t="shared" si="0"/>
        <v>34.86</v>
      </c>
      <c r="H15" s="128"/>
      <c r="I15" s="128"/>
      <c r="K15" s="55"/>
    </row>
    <row r="16" spans="1:11" ht="18.75">
      <c r="A16" s="20"/>
      <c r="B16" s="21" t="s">
        <v>96</v>
      </c>
      <c r="C16" s="103" t="s">
        <v>847</v>
      </c>
      <c r="D16" s="22" t="s">
        <v>97</v>
      </c>
      <c r="E16" s="164">
        <v>0.2</v>
      </c>
      <c r="F16" s="24">
        <f>TRUNC(54.83,2)</f>
        <v>54.83</v>
      </c>
      <c r="G16" s="128">
        <f t="shared" si="0"/>
        <v>10.96</v>
      </c>
      <c r="H16" s="128"/>
      <c r="I16" s="128"/>
      <c r="K16" s="55"/>
    </row>
    <row r="17" spans="1:11" ht="36">
      <c r="A17" s="20"/>
      <c r="B17" s="21" t="s">
        <v>95</v>
      </c>
      <c r="C17" s="103" t="s">
        <v>848</v>
      </c>
      <c r="D17" s="22" t="s">
        <v>46</v>
      </c>
      <c r="E17" s="164">
        <v>5</v>
      </c>
      <c r="F17" s="24">
        <f>TRUNC(6.8534,2)</f>
        <v>6.85</v>
      </c>
      <c r="G17" s="128">
        <f t="shared" si="0"/>
        <v>34.25</v>
      </c>
      <c r="H17" s="128"/>
      <c r="I17" s="128"/>
      <c r="K17" s="55"/>
    </row>
    <row r="18" spans="1:11" ht="36">
      <c r="A18" s="20"/>
      <c r="B18" s="21" t="s">
        <v>40</v>
      </c>
      <c r="C18" s="103" t="s">
        <v>41</v>
      </c>
      <c r="D18" s="22" t="s">
        <v>7</v>
      </c>
      <c r="E18" s="164">
        <v>2.06</v>
      </c>
      <c r="F18" s="24">
        <f>TRUNC(13.08,2)</f>
        <v>13.08</v>
      </c>
      <c r="G18" s="128">
        <f t="shared" si="0"/>
        <v>26.94</v>
      </c>
      <c r="H18" s="128"/>
      <c r="I18" s="128"/>
      <c r="K18" s="55"/>
    </row>
    <row r="19" spans="1:11" ht="18.75">
      <c r="A19" s="20"/>
      <c r="B19" s="21" t="s">
        <v>98</v>
      </c>
      <c r="C19" s="103" t="s">
        <v>532</v>
      </c>
      <c r="D19" s="22" t="s">
        <v>7</v>
      </c>
      <c r="E19" s="164">
        <v>4.12</v>
      </c>
      <c r="F19" s="24">
        <f>TRUNC(18.05,2)</f>
        <v>18.05</v>
      </c>
      <c r="G19" s="128">
        <f t="shared" si="0"/>
        <v>74.36</v>
      </c>
      <c r="H19" s="128"/>
      <c r="I19" s="128"/>
      <c r="K19" s="55"/>
    </row>
    <row r="20" spans="1:11" ht="36">
      <c r="A20" s="20"/>
      <c r="B20" s="21" t="s">
        <v>73</v>
      </c>
      <c r="C20" s="103" t="s">
        <v>395</v>
      </c>
      <c r="D20" s="22" t="s">
        <v>7</v>
      </c>
      <c r="E20" s="164">
        <v>2.06</v>
      </c>
      <c r="F20" s="24">
        <f>TRUNC(19.43,2)</f>
        <v>19.43</v>
      </c>
      <c r="G20" s="128">
        <f t="shared" si="0"/>
        <v>40.02</v>
      </c>
      <c r="H20" s="128"/>
      <c r="I20" s="128"/>
      <c r="K20" s="55"/>
    </row>
    <row r="21" spans="1:11" ht="18.75">
      <c r="A21" s="20"/>
      <c r="B21" s="21" t="s">
        <v>90</v>
      </c>
      <c r="C21" s="103" t="s">
        <v>849</v>
      </c>
      <c r="D21" s="22" t="s">
        <v>7</v>
      </c>
      <c r="E21" s="164">
        <v>1</v>
      </c>
      <c r="F21" s="24">
        <f>TRUNC(97.0783,2)</f>
        <v>97.07</v>
      </c>
      <c r="G21" s="128">
        <f t="shared" si="0"/>
        <v>97.07</v>
      </c>
      <c r="H21" s="128"/>
      <c r="I21" s="128"/>
      <c r="K21" s="55"/>
    </row>
    <row r="22" spans="1:11" ht="18.75">
      <c r="A22" s="20"/>
      <c r="B22" s="21"/>
      <c r="C22" s="103"/>
      <c r="D22" s="22"/>
      <c r="E22" s="164" t="s">
        <v>5</v>
      </c>
      <c r="F22" s="24"/>
      <c r="G22" s="128">
        <f>TRUNC(SUM(G14:G21),2)</f>
        <v>321.02</v>
      </c>
      <c r="H22" s="128"/>
      <c r="I22" s="128"/>
      <c r="K22" s="55"/>
    </row>
    <row r="23" spans="1:11" s="150" customFormat="1" ht="36">
      <c r="A23" s="153" t="s">
        <v>22</v>
      </c>
      <c r="B23" s="154" t="s">
        <v>326</v>
      </c>
      <c r="C23" s="155" t="s">
        <v>850</v>
      </c>
      <c r="D23" s="156" t="s">
        <v>0</v>
      </c>
      <c r="E23" s="178">
        <v>11</v>
      </c>
      <c r="F23" s="245">
        <f>TRUNC(G26,2)</f>
        <v>19.04</v>
      </c>
      <c r="G23" s="244">
        <f>TRUNC(F23*1.2882,2)</f>
        <v>24.52</v>
      </c>
      <c r="H23" s="244">
        <f>TRUNC(F23*E23,2)</f>
        <v>209.44</v>
      </c>
      <c r="I23" s="244">
        <f>TRUNC(E23*G23,2)</f>
        <v>269.72</v>
      </c>
      <c r="J23" s="149"/>
      <c r="K23" s="149"/>
    </row>
    <row r="24" spans="1:11" ht="36">
      <c r="A24" s="20"/>
      <c r="B24" s="21" t="s">
        <v>40</v>
      </c>
      <c r="C24" s="103" t="s">
        <v>41</v>
      </c>
      <c r="D24" s="22" t="s">
        <v>7</v>
      </c>
      <c r="E24" s="164">
        <v>1.03</v>
      </c>
      <c r="F24" s="24">
        <f>TRUNC(13.08,2)</f>
        <v>13.08</v>
      </c>
      <c r="G24" s="128">
        <f>TRUNC(E24*F24,2)</f>
        <v>13.47</v>
      </c>
      <c r="H24" s="128"/>
      <c r="I24" s="128"/>
      <c r="K24" s="55"/>
    </row>
    <row r="25" spans="1:11" ht="18.75">
      <c r="A25" s="20"/>
      <c r="B25" s="21" t="s">
        <v>43</v>
      </c>
      <c r="C25" s="103" t="s">
        <v>100</v>
      </c>
      <c r="D25" s="22" t="s">
        <v>7</v>
      </c>
      <c r="E25" s="164">
        <v>0.309</v>
      </c>
      <c r="F25" s="24">
        <f>TRUNC(18.05,2)</f>
        <v>18.05</v>
      </c>
      <c r="G25" s="128">
        <f>TRUNC(E25*F25,2)</f>
        <v>5.57</v>
      </c>
      <c r="H25" s="128"/>
      <c r="I25" s="128"/>
      <c r="K25" s="55"/>
    </row>
    <row r="26" spans="1:11" ht="18.75">
      <c r="A26" s="20"/>
      <c r="B26" s="21"/>
      <c r="C26" s="103"/>
      <c r="D26" s="22"/>
      <c r="E26" s="164" t="s">
        <v>5</v>
      </c>
      <c r="F26" s="24"/>
      <c r="G26" s="128">
        <f>TRUNC(SUM(G24:G25),2)</f>
        <v>19.04</v>
      </c>
      <c r="H26" s="128"/>
      <c r="I26" s="128"/>
      <c r="K26" s="55"/>
    </row>
    <row r="27" spans="1:11" s="150" customFormat="1" ht="36">
      <c r="A27" s="153" t="s">
        <v>663</v>
      </c>
      <c r="B27" s="154" t="s">
        <v>327</v>
      </c>
      <c r="C27" s="155" t="s">
        <v>328</v>
      </c>
      <c r="D27" s="156" t="s">
        <v>39</v>
      </c>
      <c r="E27" s="178">
        <v>8.42</v>
      </c>
      <c r="F27" s="245">
        <f>TRUNC(G30,2)</f>
        <v>68.98</v>
      </c>
      <c r="G27" s="244">
        <f>TRUNC(F27*1.2882,2)</f>
        <v>88.86</v>
      </c>
      <c r="H27" s="244">
        <f>TRUNC(F27*E27,2)</f>
        <v>580.81</v>
      </c>
      <c r="I27" s="244">
        <f>TRUNC(E27*G27,2)</f>
        <v>748.2</v>
      </c>
      <c r="J27" s="149"/>
      <c r="K27" s="149"/>
    </row>
    <row r="28" spans="1:11" ht="36">
      <c r="A28" s="20"/>
      <c r="B28" s="21" t="s">
        <v>40</v>
      </c>
      <c r="C28" s="103" t="s">
        <v>41</v>
      </c>
      <c r="D28" s="22" t="s">
        <v>7</v>
      </c>
      <c r="E28" s="164">
        <v>4.635</v>
      </c>
      <c r="F28" s="24">
        <f>TRUNC(13.08,2)</f>
        <v>13.08</v>
      </c>
      <c r="G28" s="128">
        <f>TRUNC(E28*F28,2)</f>
        <v>60.62</v>
      </c>
      <c r="H28" s="128"/>
      <c r="I28" s="128"/>
      <c r="K28" s="55"/>
    </row>
    <row r="29" spans="1:11" ht="18.75">
      <c r="A29" s="20"/>
      <c r="B29" s="21" t="s">
        <v>43</v>
      </c>
      <c r="C29" s="103" t="s">
        <v>100</v>
      </c>
      <c r="D29" s="22" t="s">
        <v>7</v>
      </c>
      <c r="E29" s="164">
        <v>0.4635</v>
      </c>
      <c r="F29" s="24">
        <f>TRUNC(18.05,2)</f>
        <v>18.05</v>
      </c>
      <c r="G29" s="128">
        <f>TRUNC(E29*F29,2)</f>
        <v>8.36</v>
      </c>
      <c r="H29" s="128"/>
      <c r="I29" s="128"/>
      <c r="K29" s="55"/>
    </row>
    <row r="30" spans="1:11" ht="18.75">
      <c r="A30" s="20"/>
      <c r="B30" s="21"/>
      <c r="C30" s="103"/>
      <c r="D30" s="22"/>
      <c r="E30" s="164" t="s">
        <v>5</v>
      </c>
      <c r="F30" s="24"/>
      <c r="G30" s="128">
        <f>TRUNC(SUM(G28:G29),2)</f>
        <v>68.98</v>
      </c>
      <c r="H30" s="128"/>
      <c r="I30" s="128"/>
      <c r="K30" s="55"/>
    </row>
    <row r="31" spans="1:11" s="150" customFormat="1" ht="18.75">
      <c r="A31" s="153" t="s">
        <v>23</v>
      </c>
      <c r="B31" s="154" t="s">
        <v>329</v>
      </c>
      <c r="C31" s="155" t="s">
        <v>851</v>
      </c>
      <c r="D31" s="156" t="s">
        <v>0</v>
      </c>
      <c r="E31" s="178">
        <v>5</v>
      </c>
      <c r="F31" s="245">
        <f>TRUNC(G34,2)</f>
        <v>16.02</v>
      </c>
      <c r="G31" s="244">
        <f>TRUNC(F31*1.2882,2)</f>
        <v>20.63</v>
      </c>
      <c r="H31" s="244">
        <f>TRUNC(F31*E31,2)</f>
        <v>80.1</v>
      </c>
      <c r="I31" s="244">
        <f>TRUNC(E31*G31,2)</f>
        <v>103.15</v>
      </c>
      <c r="J31" s="149"/>
      <c r="K31" s="149"/>
    </row>
    <row r="32" spans="1:11" ht="36">
      <c r="A32" s="20"/>
      <c r="B32" s="21" t="s">
        <v>40</v>
      </c>
      <c r="C32" s="103" t="s">
        <v>41</v>
      </c>
      <c r="D32" s="22" t="s">
        <v>7</v>
      </c>
      <c r="E32" s="164">
        <v>0.515</v>
      </c>
      <c r="F32" s="24">
        <f>TRUNC(13.08,2)</f>
        <v>13.08</v>
      </c>
      <c r="G32" s="128">
        <f>TRUNC(E32*F32,2)</f>
        <v>6.73</v>
      </c>
      <c r="H32" s="128"/>
      <c r="I32" s="128"/>
      <c r="K32" s="55"/>
    </row>
    <row r="33" spans="1:11" ht="36">
      <c r="A33" s="20"/>
      <c r="B33" s="21" t="s">
        <v>76</v>
      </c>
      <c r="C33" s="103" t="s">
        <v>264</v>
      </c>
      <c r="D33" s="22" t="s">
        <v>7</v>
      </c>
      <c r="E33" s="164">
        <v>0.515</v>
      </c>
      <c r="F33" s="24">
        <f>TRUNC(18.05,2)</f>
        <v>18.05</v>
      </c>
      <c r="G33" s="128">
        <f>TRUNC(E33*F33,2)</f>
        <v>9.29</v>
      </c>
      <c r="H33" s="128"/>
      <c r="I33" s="128"/>
      <c r="K33" s="55"/>
    </row>
    <row r="34" spans="1:11" ht="18.75">
      <c r="A34" s="20"/>
      <c r="B34" s="21"/>
      <c r="C34" s="103"/>
      <c r="D34" s="22"/>
      <c r="E34" s="164" t="s">
        <v>5</v>
      </c>
      <c r="F34" s="24"/>
      <c r="G34" s="128">
        <f>TRUNC(SUM(G32:G33),2)</f>
        <v>16.02</v>
      </c>
      <c r="H34" s="128"/>
      <c r="I34" s="128"/>
      <c r="K34" s="55"/>
    </row>
    <row r="35" spans="1:11" s="150" customFormat="1" ht="36">
      <c r="A35" s="153" t="s">
        <v>24</v>
      </c>
      <c r="B35" s="154" t="s">
        <v>330</v>
      </c>
      <c r="C35" s="155" t="s">
        <v>852</v>
      </c>
      <c r="D35" s="156" t="s">
        <v>52</v>
      </c>
      <c r="E35" s="178">
        <v>3.5</v>
      </c>
      <c r="F35" s="245">
        <f>TRUNC(G38,2)</f>
        <v>32.06</v>
      </c>
      <c r="G35" s="244">
        <f>TRUNC(F35*1.2882,2)</f>
        <v>41.29</v>
      </c>
      <c r="H35" s="244">
        <f>TRUNC(F35*E35,2)</f>
        <v>112.21</v>
      </c>
      <c r="I35" s="244">
        <f>TRUNC(E35*G35,2)</f>
        <v>144.51</v>
      </c>
      <c r="J35" s="149"/>
      <c r="K35" s="149"/>
    </row>
    <row r="36" spans="1:11" ht="36">
      <c r="A36" s="20"/>
      <c r="B36" s="21" t="s">
        <v>40</v>
      </c>
      <c r="C36" s="103" t="s">
        <v>41</v>
      </c>
      <c r="D36" s="22" t="s">
        <v>7</v>
      </c>
      <c r="E36" s="164">
        <v>1.03</v>
      </c>
      <c r="F36" s="24">
        <f>TRUNC(13.08,2)</f>
        <v>13.08</v>
      </c>
      <c r="G36" s="128">
        <f>TRUNC(E36*F36,2)</f>
        <v>13.47</v>
      </c>
      <c r="H36" s="128"/>
      <c r="I36" s="128"/>
      <c r="K36" s="55"/>
    </row>
    <row r="37" spans="1:11" ht="18.75">
      <c r="A37" s="20"/>
      <c r="B37" s="21" t="s">
        <v>43</v>
      </c>
      <c r="C37" s="103" t="s">
        <v>100</v>
      </c>
      <c r="D37" s="22" t="s">
        <v>7</v>
      </c>
      <c r="E37" s="164">
        <v>1.03</v>
      </c>
      <c r="F37" s="24">
        <f>TRUNC(18.05,2)</f>
        <v>18.05</v>
      </c>
      <c r="G37" s="128">
        <f>TRUNC(E37*F37,2)</f>
        <v>18.59</v>
      </c>
      <c r="H37" s="128"/>
      <c r="I37" s="128"/>
      <c r="K37" s="55"/>
    </row>
    <row r="38" spans="1:11" ht="18.75">
      <c r="A38" s="20"/>
      <c r="B38" s="21"/>
      <c r="C38" s="103"/>
      <c r="D38" s="22"/>
      <c r="E38" s="164" t="s">
        <v>5</v>
      </c>
      <c r="F38" s="24"/>
      <c r="G38" s="128">
        <f>TRUNC(SUM(G36:G37),2)</f>
        <v>32.06</v>
      </c>
      <c r="H38" s="128"/>
      <c r="I38" s="128"/>
      <c r="K38" s="55"/>
    </row>
    <row r="39" spans="1:11" s="150" customFormat="1" ht="18.75">
      <c r="A39" s="153" t="s">
        <v>25</v>
      </c>
      <c r="B39" s="154" t="s">
        <v>963</v>
      </c>
      <c r="C39" s="155" t="s">
        <v>339</v>
      </c>
      <c r="D39" s="156" t="s">
        <v>52</v>
      </c>
      <c r="E39" s="178">
        <v>39.52</v>
      </c>
      <c r="F39" s="245">
        <f>TRUNC(G42,2)</f>
        <v>2.4</v>
      </c>
      <c r="G39" s="244">
        <f>TRUNC(F39*1.2882,2)</f>
        <v>3.09</v>
      </c>
      <c r="H39" s="244">
        <f>TRUNC(F39*E39,2)</f>
        <v>94.84</v>
      </c>
      <c r="I39" s="244">
        <f>TRUNC(E39*G39,2)</f>
        <v>122.11</v>
      </c>
      <c r="J39" s="149"/>
      <c r="K39" s="149"/>
    </row>
    <row r="40" spans="1:11" ht="18.75">
      <c r="A40" s="20"/>
      <c r="B40" s="21" t="s">
        <v>964</v>
      </c>
      <c r="C40" s="103" t="s">
        <v>286</v>
      </c>
      <c r="D40" s="22" t="s">
        <v>7</v>
      </c>
      <c r="E40" s="164">
        <v>0.0825</v>
      </c>
      <c r="F40" s="24">
        <f>TRUNC(19.85,2)</f>
        <v>19.85</v>
      </c>
      <c r="G40" s="128">
        <f>TRUNC(E40*F40,2)</f>
        <v>1.63</v>
      </c>
      <c r="H40" s="128"/>
      <c r="I40" s="128"/>
      <c r="K40" s="55"/>
    </row>
    <row r="41" spans="1:11" ht="18.75">
      <c r="A41" s="20"/>
      <c r="B41" s="21" t="s">
        <v>965</v>
      </c>
      <c r="C41" s="103" t="s">
        <v>340</v>
      </c>
      <c r="D41" s="22" t="s">
        <v>7</v>
      </c>
      <c r="E41" s="164">
        <v>0.0293</v>
      </c>
      <c r="F41" s="24">
        <f>TRUNC(26.44,2)</f>
        <v>26.44</v>
      </c>
      <c r="G41" s="128">
        <f>TRUNC(E41*F41,2)</f>
        <v>0.77</v>
      </c>
      <c r="H41" s="128"/>
      <c r="I41" s="128"/>
      <c r="K41" s="55"/>
    </row>
    <row r="42" spans="1:11" ht="18.75">
      <c r="A42" s="20"/>
      <c r="B42" s="21"/>
      <c r="C42" s="103"/>
      <c r="D42" s="22"/>
      <c r="E42" s="164" t="s">
        <v>5</v>
      </c>
      <c r="F42" s="24"/>
      <c r="G42" s="128">
        <f>TRUNC(SUM(G40:G41),2)</f>
        <v>2.4</v>
      </c>
      <c r="H42" s="128"/>
      <c r="I42" s="128"/>
      <c r="K42" s="55"/>
    </row>
    <row r="43" spans="1:11" s="150" customFormat="1" ht="54">
      <c r="A43" s="153" t="s">
        <v>28</v>
      </c>
      <c r="B43" s="154" t="s">
        <v>341</v>
      </c>
      <c r="C43" s="155" t="s">
        <v>853</v>
      </c>
      <c r="D43" s="156" t="s">
        <v>44</v>
      </c>
      <c r="E43" s="178">
        <v>75.63</v>
      </c>
      <c r="F43" s="245">
        <f>TRUNC(G45,2)</f>
        <v>18.32</v>
      </c>
      <c r="G43" s="244">
        <f>TRUNC(F43*1.2882,2)</f>
        <v>23.59</v>
      </c>
      <c r="H43" s="244">
        <f>TRUNC(F43*E43,2)</f>
        <v>1385.54</v>
      </c>
      <c r="I43" s="244">
        <f>TRUNC(E43*G43,2)</f>
        <v>1784.11</v>
      </c>
      <c r="J43" s="149"/>
      <c r="K43" s="149"/>
    </row>
    <row r="44" spans="1:11" ht="36">
      <c r="A44" s="20"/>
      <c r="B44" s="21" t="s">
        <v>40</v>
      </c>
      <c r="C44" s="103" t="s">
        <v>41</v>
      </c>
      <c r="D44" s="22" t="s">
        <v>7</v>
      </c>
      <c r="E44" s="164">
        <v>1.4008</v>
      </c>
      <c r="F44" s="24">
        <f>TRUNC(13.08,2)</f>
        <v>13.08</v>
      </c>
      <c r="G44" s="128">
        <f>TRUNC(E44*F44,2)</f>
        <v>18.32</v>
      </c>
      <c r="H44" s="128"/>
      <c r="I44" s="128"/>
      <c r="K44" s="55"/>
    </row>
    <row r="45" spans="1:11" ht="18.75">
      <c r="A45" s="20"/>
      <c r="B45" s="21"/>
      <c r="C45" s="103"/>
      <c r="D45" s="22"/>
      <c r="E45" s="164" t="s">
        <v>5</v>
      </c>
      <c r="F45" s="24"/>
      <c r="G45" s="128">
        <f>TRUNC(SUM(G44:G44),2)</f>
        <v>18.32</v>
      </c>
      <c r="H45" s="128"/>
      <c r="I45" s="128"/>
      <c r="K45" s="55"/>
    </row>
    <row r="46" spans="1:11" s="150" customFormat="1" ht="36">
      <c r="A46" s="153" t="s">
        <v>29</v>
      </c>
      <c r="B46" s="154" t="s">
        <v>345</v>
      </c>
      <c r="C46" s="155" t="s">
        <v>333</v>
      </c>
      <c r="D46" s="156" t="s">
        <v>106</v>
      </c>
      <c r="E46" s="178">
        <v>43.06</v>
      </c>
      <c r="F46" s="245">
        <f>TRUNC((F47+F50),2)</f>
        <v>22.89</v>
      </c>
      <c r="G46" s="244">
        <f>TRUNC(F46*1.2882,2)</f>
        <v>29.48</v>
      </c>
      <c r="H46" s="244">
        <f>TRUNC(F46*E46,2)</f>
        <v>985.64</v>
      </c>
      <c r="I46" s="244">
        <f>TRUNC(E46*G46,2)</f>
        <v>1269.4</v>
      </c>
      <c r="J46" s="149"/>
      <c r="K46" s="149"/>
    </row>
    <row r="47" spans="1:11" ht="36">
      <c r="A47" s="20"/>
      <c r="B47" s="21" t="s">
        <v>342</v>
      </c>
      <c r="C47" s="103" t="s">
        <v>854</v>
      </c>
      <c r="D47" s="22" t="s">
        <v>44</v>
      </c>
      <c r="E47" s="164">
        <v>1</v>
      </c>
      <c r="F47" s="24">
        <f>TRUNC(16.16688,2)</f>
        <v>16.16</v>
      </c>
      <c r="G47" s="239">
        <f>TRUNC(E47*F47,2)</f>
        <v>16.16</v>
      </c>
      <c r="H47" s="128"/>
      <c r="I47" s="128"/>
      <c r="K47" s="55"/>
    </row>
    <row r="48" spans="1:11" ht="36">
      <c r="A48" s="20"/>
      <c r="B48" s="21" t="s">
        <v>40</v>
      </c>
      <c r="C48" s="103" t="s">
        <v>41</v>
      </c>
      <c r="D48" s="22" t="s">
        <v>7</v>
      </c>
      <c r="E48" s="164">
        <v>1.236</v>
      </c>
      <c r="F48" s="24">
        <f>TRUNC(13.08,2)</f>
        <v>13.08</v>
      </c>
      <c r="G48" s="128">
        <f>TRUNC(E48*F48,2)</f>
        <v>16.16</v>
      </c>
      <c r="H48" s="128"/>
      <c r="I48" s="128"/>
      <c r="K48" s="55"/>
    </row>
    <row r="49" spans="1:11" ht="18.75">
      <c r="A49" s="20"/>
      <c r="B49" s="21"/>
      <c r="C49" s="103"/>
      <c r="D49" s="22"/>
      <c r="E49" s="164" t="s">
        <v>5</v>
      </c>
      <c r="F49" s="24"/>
      <c r="G49" s="128">
        <f>TRUNC(SUM(G48:G48),2)</f>
        <v>16.16</v>
      </c>
      <c r="H49" s="128"/>
      <c r="I49" s="128"/>
      <c r="K49" s="55"/>
    </row>
    <row r="50" spans="1:11" ht="54">
      <c r="A50" s="20"/>
      <c r="B50" s="21" t="s">
        <v>343</v>
      </c>
      <c r="C50" s="103" t="s">
        <v>344</v>
      </c>
      <c r="D50" s="22" t="s">
        <v>44</v>
      </c>
      <c r="E50" s="164">
        <v>1</v>
      </c>
      <c r="F50" s="24">
        <f>TRUNC(6.7362,2)</f>
        <v>6.73</v>
      </c>
      <c r="G50" s="128">
        <f>TRUNC(E50*F50,2)</f>
        <v>6.73</v>
      </c>
      <c r="H50" s="128"/>
      <c r="I50" s="128"/>
      <c r="K50" s="55"/>
    </row>
    <row r="51" spans="1:11" ht="36">
      <c r="A51" s="20"/>
      <c r="B51" s="21" t="s">
        <v>40</v>
      </c>
      <c r="C51" s="103" t="s">
        <v>41</v>
      </c>
      <c r="D51" s="22" t="s">
        <v>7</v>
      </c>
      <c r="E51" s="164">
        <v>0.515</v>
      </c>
      <c r="F51" s="24">
        <f>TRUNC(13.08,2)</f>
        <v>13.08</v>
      </c>
      <c r="G51" s="128">
        <f>TRUNC(E51*F51,2)</f>
        <v>6.73</v>
      </c>
      <c r="H51" s="128"/>
      <c r="I51" s="128"/>
      <c r="K51" s="55"/>
    </row>
    <row r="52" spans="1:11" ht="18.75">
      <c r="A52" s="20"/>
      <c r="B52" s="21"/>
      <c r="C52" s="103"/>
      <c r="D52" s="22"/>
      <c r="E52" s="164" t="s">
        <v>5</v>
      </c>
      <c r="F52" s="24"/>
      <c r="G52" s="128">
        <f>TRUNC(SUM(G51:G51),2)</f>
        <v>6.73</v>
      </c>
      <c r="H52" s="128"/>
      <c r="I52" s="128"/>
      <c r="K52" s="55"/>
    </row>
    <row r="53" spans="1:11" s="150" customFormat="1" ht="39.75" customHeight="1">
      <c r="A53" s="153" t="s">
        <v>30</v>
      </c>
      <c r="B53" s="154" t="s">
        <v>346</v>
      </c>
      <c r="C53" s="155" t="s">
        <v>855</v>
      </c>
      <c r="D53" s="156" t="s">
        <v>44</v>
      </c>
      <c r="E53" s="178">
        <v>11.58</v>
      </c>
      <c r="F53" s="157">
        <f>TRUNC(G55,2)</f>
        <v>20.2</v>
      </c>
      <c r="G53" s="244">
        <f>TRUNC(F53*1.2882,2)</f>
        <v>26.02</v>
      </c>
      <c r="H53" s="244">
        <f>TRUNC(F53*E53,2)</f>
        <v>233.91</v>
      </c>
      <c r="I53" s="244">
        <f>TRUNC(E53*G53,2)</f>
        <v>301.31</v>
      </c>
      <c r="J53" s="149"/>
      <c r="K53" s="149"/>
    </row>
    <row r="54" spans="1:11" ht="36">
      <c r="A54" s="20"/>
      <c r="B54" s="21" t="s">
        <v>40</v>
      </c>
      <c r="C54" s="103" t="s">
        <v>41</v>
      </c>
      <c r="D54" s="22" t="s">
        <v>7</v>
      </c>
      <c r="E54" s="164">
        <v>1.545</v>
      </c>
      <c r="F54" s="24">
        <f>TRUNC(13.08,2)</f>
        <v>13.08</v>
      </c>
      <c r="G54" s="128">
        <f>TRUNC(E54*F54,2)</f>
        <v>20.2</v>
      </c>
      <c r="H54" s="128"/>
      <c r="I54" s="128"/>
      <c r="K54" s="55"/>
    </row>
    <row r="55" spans="1:11" ht="18.75">
      <c r="A55" s="20"/>
      <c r="B55" s="21"/>
      <c r="C55" s="103"/>
      <c r="D55" s="22"/>
      <c r="E55" s="164" t="s">
        <v>5</v>
      </c>
      <c r="F55" s="24"/>
      <c r="G55" s="128">
        <f>TRUNC(SUM(G54:G54),2)</f>
        <v>20.2</v>
      </c>
      <c r="H55" s="128"/>
      <c r="I55" s="128"/>
      <c r="K55" s="55"/>
    </row>
    <row r="56" spans="1:11" s="150" customFormat="1" ht="18.75">
      <c r="A56" s="153" t="s">
        <v>31</v>
      </c>
      <c r="B56" s="154" t="s">
        <v>621</v>
      </c>
      <c r="C56" s="155" t="s">
        <v>622</v>
      </c>
      <c r="D56" s="156" t="s">
        <v>39</v>
      </c>
      <c r="E56" s="178">
        <v>59.8</v>
      </c>
      <c r="F56" s="157">
        <f>TRUNC(G57,2)</f>
        <v>18.39</v>
      </c>
      <c r="G56" s="244">
        <f>TRUNC(F56*1.2882,2)</f>
        <v>23.68</v>
      </c>
      <c r="H56" s="244">
        <f>TRUNC(F56*E56,2)</f>
        <v>1099.72</v>
      </c>
      <c r="I56" s="244">
        <f>TRUNC(E56*G56,2)</f>
        <v>1416.06</v>
      </c>
      <c r="J56" s="149"/>
      <c r="K56" s="149"/>
    </row>
    <row r="57" spans="1:9" ht="36">
      <c r="A57" s="20"/>
      <c r="B57" s="21" t="s">
        <v>561</v>
      </c>
      <c r="C57" s="101" t="s">
        <v>856</v>
      </c>
      <c r="D57" s="22" t="s">
        <v>39</v>
      </c>
      <c r="E57" s="164">
        <v>0.1</v>
      </c>
      <c r="F57" s="24">
        <f>TRUNC(G60,2)</f>
        <v>183.96</v>
      </c>
      <c r="G57" s="239">
        <f>TRUNC(E57*F57,2)</f>
        <v>18.39</v>
      </c>
      <c r="H57" s="128"/>
      <c r="I57" s="128"/>
    </row>
    <row r="58" spans="1:9" ht="36">
      <c r="A58" s="20"/>
      <c r="B58" s="21" t="s">
        <v>40</v>
      </c>
      <c r="C58" s="101" t="s">
        <v>41</v>
      </c>
      <c r="D58" s="22" t="s">
        <v>7</v>
      </c>
      <c r="E58" s="164">
        <v>12.36</v>
      </c>
      <c r="F58" s="24">
        <f>TRUNC(13.08,2)</f>
        <v>13.08</v>
      </c>
      <c r="G58" s="128">
        <f>TRUNC(E58*F58,2)</f>
        <v>161.66</v>
      </c>
      <c r="H58" s="128"/>
      <c r="I58" s="128"/>
    </row>
    <row r="59" spans="1:9" ht="18.75">
      <c r="A59" s="20"/>
      <c r="B59" s="21" t="s">
        <v>43</v>
      </c>
      <c r="C59" s="101" t="s">
        <v>100</v>
      </c>
      <c r="D59" s="22" t="s">
        <v>7</v>
      </c>
      <c r="E59" s="164">
        <v>1.236</v>
      </c>
      <c r="F59" s="24">
        <f>TRUNC(18.05,2)</f>
        <v>18.05</v>
      </c>
      <c r="G59" s="128">
        <f>TRUNC(E59*F59,2)</f>
        <v>22.3</v>
      </c>
      <c r="H59" s="128"/>
      <c r="I59" s="128"/>
    </row>
    <row r="60" spans="1:9" ht="18.75">
      <c r="A60" s="20"/>
      <c r="B60" s="21"/>
      <c r="C60" s="101"/>
      <c r="D60" s="22"/>
      <c r="E60" s="164" t="s">
        <v>5</v>
      </c>
      <c r="F60" s="24"/>
      <c r="G60" s="128">
        <f>TRUNC(SUM(G58:G59),2)</f>
        <v>183.96</v>
      </c>
      <c r="H60" s="128"/>
      <c r="I60" s="128"/>
    </row>
    <row r="61" spans="1:11" s="150" customFormat="1" ht="36">
      <c r="A61" s="153" t="s">
        <v>331</v>
      </c>
      <c r="B61" s="154" t="s">
        <v>966</v>
      </c>
      <c r="C61" s="155" t="s">
        <v>857</v>
      </c>
      <c r="D61" s="156" t="s">
        <v>39</v>
      </c>
      <c r="E61" s="178">
        <v>0.38</v>
      </c>
      <c r="F61" s="157">
        <f>TRUNC(G67,2)</f>
        <v>253.97</v>
      </c>
      <c r="G61" s="244">
        <f>TRUNC(F61*1.2882,2)</f>
        <v>327.16</v>
      </c>
      <c r="H61" s="244">
        <f>TRUNC(F61*E61,2)</f>
        <v>96.5</v>
      </c>
      <c r="I61" s="244">
        <f>TRUNC(E61*G61,2)</f>
        <v>124.32</v>
      </c>
      <c r="J61" s="149"/>
      <c r="K61" s="149"/>
    </row>
    <row r="62" spans="1:11" ht="18.75">
      <c r="A62" s="132"/>
      <c r="B62" s="127" t="s">
        <v>967</v>
      </c>
      <c r="C62" s="126" t="s">
        <v>858</v>
      </c>
      <c r="D62" s="23" t="s">
        <v>46</v>
      </c>
      <c r="E62" s="24">
        <v>0.2835</v>
      </c>
      <c r="F62" s="128">
        <f>TRUNC(10.33,2)</f>
        <v>10.33</v>
      </c>
      <c r="G62" s="255">
        <f>TRUNC(E62*F62,2)</f>
        <v>2.92</v>
      </c>
      <c r="H62" s="255"/>
      <c r="I62" s="255"/>
      <c r="J62" s="134"/>
      <c r="K62" s="60"/>
    </row>
    <row r="63" spans="1:11" ht="18.75">
      <c r="A63" s="132"/>
      <c r="B63" s="127" t="s">
        <v>964</v>
      </c>
      <c r="C63" s="126" t="s">
        <v>286</v>
      </c>
      <c r="D63" s="23" t="s">
        <v>7</v>
      </c>
      <c r="E63" s="24">
        <v>6.5785</v>
      </c>
      <c r="F63" s="128">
        <f>TRUNC(19.85,2)</f>
        <v>19.85</v>
      </c>
      <c r="G63" s="255">
        <f>TRUNC(E63*F63,2)</f>
        <v>130.58</v>
      </c>
      <c r="H63" s="255"/>
      <c r="I63" s="255"/>
      <c r="J63" s="134"/>
      <c r="K63" s="60"/>
    </row>
    <row r="64" spans="1:11" ht="18.75">
      <c r="A64" s="132"/>
      <c r="B64" s="127" t="s">
        <v>968</v>
      </c>
      <c r="C64" s="126" t="s">
        <v>576</v>
      </c>
      <c r="D64" s="23" t="s">
        <v>7</v>
      </c>
      <c r="E64" s="24">
        <v>0.6366</v>
      </c>
      <c r="F64" s="128">
        <f>TRUNC(25.18,2)</f>
        <v>25.18</v>
      </c>
      <c r="G64" s="255">
        <f>TRUNC(E64*F64,2)</f>
        <v>16.02</v>
      </c>
      <c r="H64" s="255"/>
      <c r="I64" s="255"/>
      <c r="K64" s="60"/>
    </row>
    <row r="65" spans="1:11" ht="18.75">
      <c r="A65" s="132"/>
      <c r="B65" s="127" t="s">
        <v>969</v>
      </c>
      <c r="C65" s="126" t="s">
        <v>970</v>
      </c>
      <c r="D65" s="23" t="s">
        <v>158</v>
      </c>
      <c r="E65" s="24">
        <v>0.9202</v>
      </c>
      <c r="F65" s="128">
        <f>TRUNC(24.25,2)</f>
        <v>24.25</v>
      </c>
      <c r="G65" s="255">
        <f>TRUNC(E65*F65,2)</f>
        <v>22.31</v>
      </c>
      <c r="H65" s="255"/>
      <c r="I65" s="255"/>
      <c r="J65" s="134"/>
      <c r="K65" s="60"/>
    </row>
    <row r="66" spans="1:11" ht="18.75">
      <c r="A66" s="132"/>
      <c r="B66" s="127" t="s">
        <v>971</v>
      </c>
      <c r="C66" s="126" t="s">
        <v>972</v>
      </c>
      <c r="D66" s="23" t="s">
        <v>134</v>
      </c>
      <c r="E66" s="24">
        <v>3.2468</v>
      </c>
      <c r="F66" s="128">
        <f>TRUNC(25.3,2)</f>
        <v>25.3</v>
      </c>
      <c r="G66" s="255">
        <f>TRUNC(E66*F66,2)</f>
        <v>82.14</v>
      </c>
      <c r="H66" s="255"/>
      <c r="I66" s="255"/>
      <c r="J66" s="134"/>
      <c r="K66" s="60"/>
    </row>
    <row r="67" spans="1:11" ht="18.75">
      <c r="A67" s="132"/>
      <c r="B67" s="127"/>
      <c r="C67" s="126"/>
      <c r="D67" s="23"/>
      <c r="E67" s="24" t="s">
        <v>5</v>
      </c>
      <c r="F67" s="128"/>
      <c r="G67" s="255">
        <f>TRUNC(SUM(G62:G66),2)</f>
        <v>253.97</v>
      </c>
      <c r="H67" s="255"/>
      <c r="I67" s="255"/>
      <c r="K67" s="60"/>
    </row>
    <row r="68" spans="1:11" s="150" customFormat="1" ht="18.75">
      <c r="A68" s="153" t="s">
        <v>332</v>
      </c>
      <c r="B68" s="154" t="s">
        <v>817</v>
      </c>
      <c r="C68" s="155" t="s">
        <v>818</v>
      </c>
      <c r="D68" s="156" t="s">
        <v>106</v>
      </c>
      <c r="E68" s="178">
        <v>175.57</v>
      </c>
      <c r="F68" s="157">
        <f>TRUNC(F69,2)</f>
        <v>5.6</v>
      </c>
      <c r="G68" s="244">
        <f>TRUNC(F68*1.2882,2)</f>
        <v>7.21</v>
      </c>
      <c r="H68" s="244">
        <f>TRUNC(F68*E68,2)</f>
        <v>983.19</v>
      </c>
      <c r="I68" s="244">
        <f>TRUNC(E68*G68,2)</f>
        <v>1265.85</v>
      </c>
      <c r="J68" s="149"/>
      <c r="K68" s="149"/>
    </row>
    <row r="69" spans="1:9" ht="18.75">
      <c r="A69" s="129"/>
      <c r="B69" s="133" t="s">
        <v>817</v>
      </c>
      <c r="C69" s="99" t="s">
        <v>816</v>
      </c>
      <c r="D69" s="18"/>
      <c r="E69" s="165"/>
      <c r="F69" s="19">
        <f>G74</f>
        <v>5.6</v>
      </c>
      <c r="G69" s="239"/>
      <c r="H69" s="128"/>
      <c r="I69" s="128"/>
    </row>
    <row r="70" spans="1:11" ht="18.75">
      <c r="A70" s="132"/>
      <c r="B70" s="127" t="s">
        <v>806</v>
      </c>
      <c r="C70" s="126" t="s">
        <v>807</v>
      </c>
      <c r="D70" s="23" t="s">
        <v>231</v>
      </c>
      <c r="E70" s="24">
        <v>1</v>
      </c>
      <c r="F70" s="128">
        <v>0.83</v>
      </c>
      <c r="G70" s="255">
        <f>TRUNC((E70*F70),2)</f>
        <v>0.83</v>
      </c>
      <c r="H70" s="255"/>
      <c r="I70" s="255"/>
      <c r="J70" s="134"/>
      <c r="K70" s="60"/>
    </row>
    <row r="71" spans="1:11" ht="18.75">
      <c r="A71" s="132"/>
      <c r="B71" s="127" t="s">
        <v>808</v>
      </c>
      <c r="C71" s="126" t="s">
        <v>809</v>
      </c>
      <c r="D71" s="23" t="s">
        <v>231</v>
      </c>
      <c r="E71" s="24">
        <v>0.01</v>
      </c>
      <c r="F71" s="128">
        <v>83.18</v>
      </c>
      <c r="G71" s="255">
        <f>TRUNC((E71*F71),2)</f>
        <v>0.83</v>
      </c>
      <c r="H71" s="255"/>
      <c r="I71" s="255"/>
      <c r="J71" s="134"/>
      <c r="K71" s="60"/>
    </row>
    <row r="72" spans="1:11" ht="18.75">
      <c r="A72" s="132"/>
      <c r="B72" s="127" t="s">
        <v>810</v>
      </c>
      <c r="C72" s="126" t="s">
        <v>811</v>
      </c>
      <c r="D72" s="23" t="s">
        <v>812</v>
      </c>
      <c r="E72" s="24">
        <v>0.3</v>
      </c>
      <c r="F72" s="128">
        <v>12.42</v>
      </c>
      <c r="G72" s="255">
        <f>TRUNC((E72*F72),2)</f>
        <v>3.72</v>
      </c>
      <c r="H72" s="255"/>
      <c r="I72" s="255"/>
      <c r="J72" s="134"/>
      <c r="K72" s="60"/>
    </row>
    <row r="73" spans="1:11" ht="18.75">
      <c r="A73" s="132"/>
      <c r="B73" s="127" t="s">
        <v>813</v>
      </c>
      <c r="C73" s="126" t="s">
        <v>814</v>
      </c>
      <c r="D73" s="23" t="s">
        <v>815</v>
      </c>
      <c r="E73" s="24">
        <v>1</v>
      </c>
      <c r="F73" s="128">
        <v>7.46</v>
      </c>
      <c r="G73" s="255">
        <v>0.22</v>
      </c>
      <c r="H73" s="255"/>
      <c r="I73" s="255"/>
      <c r="K73" s="60"/>
    </row>
    <row r="74" spans="1:9" ht="18.75">
      <c r="A74" s="130"/>
      <c r="B74" s="131"/>
      <c r="C74" s="102"/>
      <c r="D74" s="26"/>
      <c r="E74" s="166"/>
      <c r="F74" s="27"/>
      <c r="G74" s="240">
        <f>SUM(G70:G73)</f>
        <v>5.6</v>
      </c>
      <c r="H74" s="128"/>
      <c r="I74" s="128"/>
    </row>
    <row r="75" spans="1:11" s="150" customFormat="1" ht="36">
      <c r="A75" s="153" t="s">
        <v>334</v>
      </c>
      <c r="B75" s="154" t="s">
        <v>347</v>
      </c>
      <c r="C75" s="155" t="s">
        <v>859</v>
      </c>
      <c r="D75" s="156" t="s">
        <v>52</v>
      </c>
      <c r="E75" s="178">
        <v>11.95</v>
      </c>
      <c r="F75" s="157">
        <f>TRUNC(G77,2)</f>
        <v>46.47</v>
      </c>
      <c r="G75" s="244">
        <f>TRUNC(F75*1.2882,2)</f>
        <v>59.86</v>
      </c>
      <c r="H75" s="244">
        <f>TRUNC(F75*E75,2)</f>
        <v>555.31</v>
      </c>
      <c r="I75" s="244">
        <f>TRUNC(E75*G75,2)</f>
        <v>715.32</v>
      </c>
      <c r="J75" s="149"/>
      <c r="K75" s="149"/>
    </row>
    <row r="76" spans="1:11" ht="18.75">
      <c r="A76" s="132"/>
      <c r="B76" s="127" t="s">
        <v>43</v>
      </c>
      <c r="C76" s="126" t="s">
        <v>100</v>
      </c>
      <c r="D76" s="23" t="s">
        <v>7</v>
      </c>
      <c r="E76" s="24">
        <v>2.575</v>
      </c>
      <c r="F76" s="128">
        <f>TRUNC(18.05,2)</f>
        <v>18.05</v>
      </c>
      <c r="G76" s="255">
        <f>TRUNC(E76*F76,2)</f>
        <v>46.47</v>
      </c>
      <c r="H76" s="255"/>
      <c r="I76" s="255"/>
      <c r="J76" s="134"/>
      <c r="K76" s="60"/>
    </row>
    <row r="77" spans="1:11" ht="18.75">
      <c r="A77" s="132"/>
      <c r="B77" s="127"/>
      <c r="C77" s="126"/>
      <c r="D77" s="23"/>
      <c r="E77" s="24" t="s">
        <v>5</v>
      </c>
      <c r="F77" s="128"/>
      <c r="G77" s="255">
        <f>TRUNC(SUM(G76:G76),2)</f>
        <v>46.47</v>
      </c>
      <c r="H77" s="255"/>
      <c r="I77" s="255"/>
      <c r="J77" s="134"/>
      <c r="K77" s="60"/>
    </row>
    <row r="78" spans="1:11" s="150" customFormat="1" ht="18.75">
      <c r="A78" s="153" t="s">
        <v>335</v>
      </c>
      <c r="B78" s="154" t="s">
        <v>973</v>
      </c>
      <c r="C78" s="155" t="s">
        <v>832</v>
      </c>
      <c r="D78" s="156" t="s">
        <v>52</v>
      </c>
      <c r="E78" s="178">
        <v>150</v>
      </c>
      <c r="F78" s="157">
        <f>TRUNC(G81,2)</f>
        <v>0.61</v>
      </c>
      <c r="G78" s="244">
        <f>TRUNC(F78*1.2882,2)</f>
        <v>0.78</v>
      </c>
      <c r="H78" s="244">
        <f>TRUNC(F78*E78,2)</f>
        <v>91.5</v>
      </c>
      <c r="I78" s="244">
        <f>TRUNC(E78*G78,2)</f>
        <v>117</v>
      </c>
      <c r="J78" s="149"/>
      <c r="K78" s="149"/>
    </row>
    <row r="79" spans="1:11" ht="18.75">
      <c r="A79" s="132"/>
      <c r="B79" s="127" t="s">
        <v>964</v>
      </c>
      <c r="C79" s="126" t="s">
        <v>286</v>
      </c>
      <c r="D79" s="23" t="s">
        <v>7</v>
      </c>
      <c r="E79" s="24">
        <v>0.0188</v>
      </c>
      <c r="F79" s="128">
        <f>TRUNC(19.85,2)</f>
        <v>19.85</v>
      </c>
      <c r="G79" s="255">
        <f>TRUNC(E79*F79,2)</f>
        <v>0.37</v>
      </c>
      <c r="H79" s="255"/>
      <c r="I79" s="255"/>
      <c r="J79" s="134"/>
      <c r="K79" s="60"/>
    </row>
    <row r="80" spans="1:11" ht="18.75">
      <c r="A80" s="132"/>
      <c r="B80" s="127" t="s">
        <v>974</v>
      </c>
      <c r="C80" s="126" t="s">
        <v>833</v>
      </c>
      <c r="D80" s="23" t="s">
        <v>7</v>
      </c>
      <c r="E80" s="24">
        <v>0.0096</v>
      </c>
      <c r="F80" s="128">
        <f>TRUNC(25.17,2)</f>
        <v>25.17</v>
      </c>
      <c r="G80" s="255">
        <f>TRUNC(E80*F80,2)</f>
        <v>0.24</v>
      </c>
      <c r="H80" s="255"/>
      <c r="I80" s="255"/>
      <c r="J80" s="134"/>
      <c r="K80" s="60"/>
    </row>
    <row r="81" spans="1:11" ht="18.75">
      <c r="A81" s="132"/>
      <c r="B81" s="127"/>
      <c r="C81" s="126"/>
      <c r="D81" s="23"/>
      <c r="E81" s="24" t="s">
        <v>5</v>
      </c>
      <c r="F81" s="128"/>
      <c r="G81" s="255">
        <f>TRUNC(SUM(G79:G80),2)</f>
        <v>0.61</v>
      </c>
      <c r="H81" s="255"/>
      <c r="I81" s="255"/>
      <c r="J81" s="134"/>
      <c r="K81" s="60"/>
    </row>
    <row r="82" spans="1:11" s="150" customFormat="1" ht="36">
      <c r="A82" s="153" t="s">
        <v>336</v>
      </c>
      <c r="B82" s="154" t="s">
        <v>348</v>
      </c>
      <c r="C82" s="155" t="s">
        <v>860</v>
      </c>
      <c r="D82" s="156" t="s">
        <v>0</v>
      </c>
      <c r="E82" s="178">
        <v>10</v>
      </c>
      <c r="F82" s="157">
        <f>TRUNC(G84,2)</f>
        <v>4.64</v>
      </c>
      <c r="G82" s="244">
        <f>TRUNC(F82*1.2882,2)</f>
        <v>5.97</v>
      </c>
      <c r="H82" s="244">
        <f>TRUNC(F82*E82,2)</f>
        <v>46.4</v>
      </c>
      <c r="I82" s="244">
        <f>TRUNC(E82*G82,2)</f>
        <v>59.7</v>
      </c>
      <c r="J82" s="149"/>
      <c r="K82" s="149"/>
    </row>
    <row r="83" spans="1:11" ht="18.75">
      <c r="A83" s="132"/>
      <c r="B83" s="127" t="s">
        <v>74</v>
      </c>
      <c r="C83" s="126" t="s">
        <v>315</v>
      </c>
      <c r="D83" s="23" t="s">
        <v>7</v>
      </c>
      <c r="E83" s="24">
        <v>0.2575</v>
      </c>
      <c r="F83" s="128">
        <f>TRUNC(18.05,2)</f>
        <v>18.05</v>
      </c>
      <c r="G83" s="255">
        <f>TRUNC(E83*F83,2)</f>
        <v>4.64</v>
      </c>
      <c r="H83" s="255"/>
      <c r="I83" s="255"/>
      <c r="J83" s="134"/>
      <c r="K83" s="60"/>
    </row>
    <row r="84" spans="1:11" ht="18.75">
      <c r="A84" s="132"/>
      <c r="B84" s="127"/>
      <c r="C84" s="126"/>
      <c r="D84" s="23"/>
      <c r="E84" s="24" t="s">
        <v>5</v>
      </c>
      <c r="F84" s="128"/>
      <c r="G84" s="255">
        <f>TRUNC(SUM(G83:G83),2)</f>
        <v>4.64</v>
      </c>
      <c r="H84" s="255"/>
      <c r="I84" s="255"/>
      <c r="J84" s="134"/>
      <c r="K84" s="60"/>
    </row>
    <row r="85" spans="1:11" s="150" customFormat="1" ht="54">
      <c r="A85" s="153" t="s">
        <v>337</v>
      </c>
      <c r="B85" s="154" t="s">
        <v>665</v>
      </c>
      <c r="C85" s="155" t="s">
        <v>861</v>
      </c>
      <c r="D85" s="156" t="s">
        <v>44</v>
      </c>
      <c r="E85" s="178">
        <v>20.64</v>
      </c>
      <c r="F85" s="157">
        <f>TRUNC(G88,2)</f>
        <v>8.19</v>
      </c>
      <c r="G85" s="244">
        <f>TRUNC(F85*1.2882,2)</f>
        <v>10.55</v>
      </c>
      <c r="H85" s="244">
        <f>TRUNC(F85*E85,2)</f>
        <v>169.04</v>
      </c>
      <c r="I85" s="244">
        <f>TRUNC(E85*G85,2)</f>
        <v>217.75</v>
      </c>
      <c r="J85" s="149"/>
      <c r="K85" s="149"/>
    </row>
    <row r="86" spans="1:11" ht="18.75">
      <c r="A86" s="132"/>
      <c r="B86" s="127" t="s">
        <v>40</v>
      </c>
      <c r="C86" s="126" t="s">
        <v>41</v>
      </c>
      <c r="D86" s="23" t="s">
        <v>7</v>
      </c>
      <c r="E86" s="24">
        <v>0.26368</v>
      </c>
      <c r="F86" s="128">
        <f>TRUNC(13.08,2)</f>
        <v>13.08</v>
      </c>
      <c r="G86" s="255">
        <f>TRUNC(E86*F86,2)</f>
        <v>3.44</v>
      </c>
      <c r="H86" s="255"/>
      <c r="I86" s="255"/>
      <c r="J86" s="134"/>
      <c r="K86" s="60"/>
    </row>
    <row r="87" spans="1:11" ht="18.75">
      <c r="A87" s="132"/>
      <c r="B87" s="127" t="s">
        <v>43</v>
      </c>
      <c r="C87" s="126" t="s">
        <v>100</v>
      </c>
      <c r="D87" s="23" t="s">
        <v>7</v>
      </c>
      <c r="E87" s="24">
        <v>0.26368</v>
      </c>
      <c r="F87" s="128">
        <f>TRUNC(18.05,2)</f>
        <v>18.05</v>
      </c>
      <c r="G87" s="255">
        <f>TRUNC(E87*F87,2)</f>
        <v>4.75</v>
      </c>
      <c r="H87" s="255"/>
      <c r="I87" s="255"/>
      <c r="J87" s="134"/>
      <c r="K87" s="60"/>
    </row>
    <row r="88" spans="1:11" ht="18.75">
      <c r="A88" s="132"/>
      <c r="B88" s="127"/>
      <c r="C88" s="126"/>
      <c r="D88" s="23"/>
      <c r="E88" s="24" t="s">
        <v>5</v>
      </c>
      <c r="F88" s="128"/>
      <c r="G88" s="255">
        <f>TRUNC(SUM(G86:G87),2)</f>
        <v>8.19</v>
      </c>
      <c r="H88" s="255"/>
      <c r="I88" s="255"/>
      <c r="J88" s="134"/>
      <c r="K88" s="60"/>
    </row>
    <row r="89" spans="1:11" s="150" customFormat="1" ht="36">
      <c r="A89" s="153" t="s">
        <v>338</v>
      </c>
      <c r="B89" s="154" t="s">
        <v>664</v>
      </c>
      <c r="C89" s="155" t="s">
        <v>862</v>
      </c>
      <c r="D89" s="156" t="s">
        <v>44</v>
      </c>
      <c r="E89" s="178">
        <v>20.64</v>
      </c>
      <c r="F89" s="157">
        <f>TRUNC(G92,2)</f>
        <v>24.04</v>
      </c>
      <c r="G89" s="244">
        <f>TRUNC(F89*1.2882,2)</f>
        <v>30.96</v>
      </c>
      <c r="H89" s="244">
        <f>TRUNC(F89*E89,2)</f>
        <v>496.18</v>
      </c>
      <c r="I89" s="244">
        <f>TRUNC(E89*G89,2)</f>
        <v>639.01</v>
      </c>
      <c r="J89" s="149"/>
      <c r="K89" s="149"/>
    </row>
    <row r="90" spans="1:11" ht="18.75">
      <c r="A90" s="132"/>
      <c r="B90" s="127" t="s">
        <v>40</v>
      </c>
      <c r="C90" s="126" t="s">
        <v>41</v>
      </c>
      <c r="D90" s="23" t="s">
        <v>7</v>
      </c>
      <c r="E90" s="24">
        <v>0.7725</v>
      </c>
      <c r="F90" s="128">
        <f>TRUNC(13.08,2)</f>
        <v>13.08</v>
      </c>
      <c r="G90" s="255">
        <f>TRUNC(E90*F90,2)</f>
        <v>10.1</v>
      </c>
      <c r="H90" s="255"/>
      <c r="I90" s="255"/>
      <c r="J90" s="134"/>
      <c r="K90" s="60"/>
    </row>
    <row r="91" spans="1:11" ht="18.75">
      <c r="A91" s="132"/>
      <c r="B91" s="127" t="s">
        <v>84</v>
      </c>
      <c r="C91" s="126" t="s">
        <v>267</v>
      </c>
      <c r="D91" s="23" t="s">
        <v>7</v>
      </c>
      <c r="E91" s="24">
        <v>0.7725</v>
      </c>
      <c r="F91" s="128">
        <f>TRUNC(18.05,2)</f>
        <v>18.05</v>
      </c>
      <c r="G91" s="255">
        <f>TRUNC(E91*F91,2)</f>
        <v>13.94</v>
      </c>
      <c r="H91" s="255"/>
      <c r="I91" s="255"/>
      <c r="J91" s="134"/>
      <c r="K91" s="60"/>
    </row>
    <row r="92" spans="1:11" ht="18.75">
      <c r="A92" s="132"/>
      <c r="B92" s="127"/>
      <c r="C92" s="126"/>
      <c r="D92" s="23"/>
      <c r="E92" s="24" t="s">
        <v>5</v>
      </c>
      <c r="F92" s="128"/>
      <c r="G92" s="255">
        <f>TRUNC(SUM(G90:G91),2)</f>
        <v>24.04</v>
      </c>
      <c r="H92" s="255"/>
      <c r="I92" s="255"/>
      <c r="J92" s="134"/>
      <c r="K92" s="60"/>
    </row>
    <row r="93" spans="1:13" s="72" customFormat="1" ht="18.75">
      <c r="A93" s="29" t="s">
        <v>130</v>
      </c>
      <c r="B93" s="284"/>
      <c r="C93" s="256"/>
      <c r="D93" s="257"/>
      <c r="E93" s="298" t="s">
        <v>34</v>
      </c>
      <c r="F93" s="299"/>
      <c r="G93" s="300"/>
      <c r="H93" s="38">
        <f>H13+H23+H27+H31+H35+H39+H43+H46+H53+H56+H61+H68+H75+H78+H82+H85+H89</f>
        <v>11072.570000000002</v>
      </c>
      <c r="I93" s="38">
        <f>I13+I23+I27+I31+I35+I39+I43+I46+I53+I56+I61+I68+I75+I78+I82+I85+I89</f>
        <v>14259.88</v>
      </c>
      <c r="J93" s="12"/>
      <c r="K93" s="12"/>
      <c r="L93" s="60"/>
      <c r="M93" s="60"/>
    </row>
    <row r="94" spans="1:11" s="152" customFormat="1" ht="18.75">
      <c r="A94" s="273" t="s">
        <v>26</v>
      </c>
      <c r="B94" s="282"/>
      <c r="C94" s="283" t="s">
        <v>841</v>
      </c>
      <c r="D94" s="276"/>
      <c r="E94" s="277"/>
      <c r="F94" s="279"/>
      <c r="G94" s="278"/>
      <c r="H94" s="278"/>
      <c r="I94" s="272"/>
      <c r="J94" s="281"/>
      <c r="K94" s="151"/>
    </row>
    <row r="95" spans="1:11" s="150" customFormat="1" ht="36">
      <c r="A95" s="153" t="s">
        <v>27</v>
      </c>
      <c r="B95" s="154" t="s">
        <v>161</v>
      </c>
      <c r="C95" s="155" t="s">
        <v>283</v>
      </c>
      <c r="D95" s="156" t="s">
        <v>39</v>
      </c>
      <c r="E95" s="178">
        <v>0.66</v>
      </c>
      <c r="F95" s="157">
        <f>TRUNC(G105,2)</f>
        <v>1424.23</v>
      </c>
      <c r="G95" s="244">
        <f>TRUNC(F95*1.2882,2)</f>
        <v>1834.69</v>
      </c>
      <c r="H95" s="244">
        <f>TRUNC(F95*E95,2)</f>
        <v>939.99</v>
      </c>
      <c r="I95" s="244">
        <f>TRUNC(E95*G95,2)</f>
        <v>1210.89</v>
      </c>
      <c r="J95" s="149"/>
      <c r="K95" s="149"/>
    </row>
    <row r="96" spans="1:11" s="111" customFormat="1" ht="36">
      <c r="A96" s="158"/>
      <c r="B96" s="159" t="s">
        <v>54</v>
      </c>
      <c r="C96" s="160" t="s">
        <v>102</v>
      </c>
      <c r="D96" s="161" t="s">
        <v>46</v>
      </c>
      <c r="E96" s="163">
        <v>1.4</v>
      </c>
      <c r="F96" s="162">
        <f>TRUNC(8.55,2)</f>
        <v>8.55</v>
      </c>
      <c r="G96" s="260">
        <f aca="true" t="shared" si="1" ref="G96:G104">TRUNC(E96*F96,2)</f>
        <v>11.97</v>
      </c>
      <c r="H96" s="259"/>
      <c r="I96" s="259"/>
      <c r="J96" s="110"/>
      <c r="K96" s="110"/>
    </row>
    <row r="97" spans="1:11" s="111" customFormat="1" ht="18.75">
      <c r="A97" s="158"/>
      <c r="B97" s="159" t="s">
        <v>225</v>
      </c>
      <c r="C97" s="160" t="s">
        <v>226</v>
      </c>
      <c r="D97" s="161" t="s">
        <v>46</v>
      </c>
      <c r="E97" s="163">
        <v>75</v>
      </c>
      <c r="F97" s="162">
        <f>TRUNC(4.1384,2)</f>
        <v>4.13</v>
      </c>
      <c r="G97" s="260">
        <f t="shared" si="1"/>
        <v>309.75</v>
      </c>
      <c r="H97" s="259"/>
      <c r="I97" s="259"/>
      <c r="J97" s="110"/>
      <c r="K97" s="110"/>
    </row>
    <row r="98" spans="1:11" s="111" customFormat="1" ht="18.75">
      <c r="A98" s="158"/>
      <c r="B98" s="159" t="s">
        <v>85</v>
      </c>
      <c r="C98" s="160" t="s">
        <v>101</v>
      </c>
      <c r="D98" s="161" t="s">
        <v>46</v>
      </c>
      <c r="E98" s="163">
        <v>1.2</v>
      </c>
      <c r="F98" s="162">
        <f>TRUNC(6.4,2)</f>
        <v>6.4</v>
      </c>
      <c r="G98" s="260">
        <f t="shared" si="1"/>
        <v>7.68</v>
      </c>
      <c r="H98" s="259"/>
      <c r="I98" s="259"/>
      <c r="J98" s="110"/>
      <c r="K98" s="110"/>
    </row>
    <row r="99" spans="1:11" s="111" customFormat="1" ht="36">
      <c r="A99" s="158"/>
      <c r="B99" s="159" t="s">
        <v>40</v>
      </c>
      <c r="C99" s="160" t="s">
        <v>41</v>
      </c>
      <c r="D99" s="161" t="s">
        <v>7</v>
      </c>
      <c r="E99" s="163">
        <v>30.900000000000002</v>
      </c>
      <c r="F99" s="162">
        <f>TRUNC(13.08,2)</f>
        <v>13.08</v>
      </c>
      <c r="G99" s="260">
        <f t="shared" si="1"/>
        <v>404.17</v>
      </c>
      <c r="H99" s="259"/>
      <c r="I99" s="259"/>
      <c r="J99" s="110"/>
      <c r="K99" s="110"/>
    </row>
    <row r="100" spans="1:11" s="111" customFormat="1" ht="18.75">
      <c r="A100" s="158"/>
      <c r="B100" s="159" t="s">
        <v>43</v>
      </c>
      <c r="C100" s="160" t="s">
        <v>100</v>
      </c>
      <c r="D100" s="161" t="s">
        <v>7</v>
      </c>
      <c r="E100" s="163">
        <v>4.12</v>
      </c>
      <c r="F100" s="162">
        <f>TRUNC(18.05,2)</f>
        <v>18.05</v>
      </c>
      <c r="G100" s="260">
        <f t="shared" si="1"/>
        <v>74.36</v>
      </c>
      <c r="H100" s="259"/>
      <c r="I100" s="259"/>
      <c r="J100" s="110"/>
      <c r="K100" s="110"/>
    </row>
    <row r="101" spans="1:11" s="111" customFormat="1" ht="36">
      <c r="A101" s="158"/>
      <c r="B101" s="159" t="s">
        <v>84</v>
      </c>
      <c r="C101" s="160" t="s">
        <v>267</v>
      </c>
      <c r="D101" s="161" t="s">
        <v>7</v>
      </c>
      <c r="E101" s="163">
        <v>6.18</v>
      </c>
      <c r="F101" s="162">
        <f>TRUNC(18.05,2)</f>
        <v>18.05</v>
      </c>
      <c r="G101" s="260">
        <f t="shared" si="1"/>
        <v>111.54</v>
      </c>
      <c r="H101" s="259"/>
      <c r="I101" s="259"/>
      <c r="J101" s="110"/>
      <c r="K101" s="110"/>
    </row>
    <row r="102" spans="1:11" s="111" customFormat="1" ht="36">
      <c r="A102" s="158"/>
      <c r="B102" s="159" t="s">
        <v>144</v>
      </c>
      <c r="C102" s="160" t="s">
        <v>284</v>
      </c>
      <c r="D102" s="161" t="s">
        <v>7</v>
      </c>
      <c r="E102" s="163">
        <v>15.450000000000001</v>
      </c>
      <c r="F102" s="162">
        <f>TRUNC(18.05,2)</f>
        <v>18.05</v>
      </c>
      <c r="G102" s="260">
        <f t="shared" si="1"/>
        <v>278.87</v>
      </c>
      <c r="H102" s="259"/>
      <c r="I102" s="259"/>
      <c r="J102" s="110"/>
      <c r="K102" s="110"/>
    </row>
    <row r="103" spans="1:11" s="111" customFormat="1" ht="18.75">
      <c r="A103" s="158"/>
      <c r="B103" s="159" t="s">
        <v>75</v>
      </c>
      <c r="C103" s="160" t="s">
        <v>285</v>
      </c>
      <c r="D103" s="161" t="s">
        <v>44</v>
      </c>
      <c r="E103" s="163">
        <v>1.1</v>
      </c>
      <c r="F103" s="162">
        <f>TRUNC(21.6761,2)</f>
        <v>21.67</v>
      </c>
      <c r="G103" s="260">
        <f t="shared" si="1"/>
        <v>23.83</v>
      </c>
      <c r="H103" s="259"/>
      <c r="I103" s="259"/>
      <c r="J103" s="110"/>
      <c r="K103" s="110"/>
    </row>
    <row r="104" spans="1:11" s="111" customFormat="1" ht="18.75">
      <c r="A104" s="158"/>
      <c r="B104" s="159" t="s">
        <v>153</v>
      </c>
      <c r="C104" s="160" t="s">
        <v>269</v>
      </c>
      <c r="D104" s="161" t="s">
        <v>39</v>
      </c>
      <c r="E104" s="163">
        <v>1.05</v>
      </c>
      <c r="F104" s="162">
        <f>TRUNC(192.4416,2)</f>
        <v>192.44</v>
      </c>
      <c r="G104" s="260">
        <f t="shared" si="1"/>
        <v>202.06</v>
      </c>
      <c r="H104" s="259"/>
      <c r="I104" s="259"/>
      <c r="J104" s="110"/>
      <c r="K104" s="110"/>
    </row>
    <row r="105" spans="1:11" s="111" customFormat="1" ht="18.75">
      <c r="A105" s="158"/>
      <c r="B105" s="159"/>
      <c r="C105" s="160"/>
      <c r="D105" s="161"/>
      <c r="E105" s="163" t="s">
        <v>5</v>
      </c>
      <c r="F105" s="162"/>
      <c r="G105" s="260">
        <f>TRUNC(SUM(G96:G104),2)</f>
        <v>1424.23</v>
      </c>
      <c r="H105" s="259"/>
      <c r="I105" s="259"/>
      <c r="J105" s="110"/>
      <c r="K105" s="110"/>
    </row>
    <row r="106" spans="1:11" ht="18.75">
      <c r="A106" s="29" t="s">
        <v>130</v>
      </c>
      <c r="B106" s="301"/>
      <c r="C106" s="302"/>
      <c r="D106" s="303"/>
      <c r="E106" s="298" t="s">
        <v>33</v>
      </c>
      <c r="F106" s="299"/>
      <c r="G106" s="300"/>
      <c r="H106" s="38">
        <f>H95</f>
        <v>939.99</v>
      </c>
      <c r="I106" s="38">
        <f>I95</f>
        <v>1210.89</v>
      </c>
      <c r="K106" s="62"/>
    </row>
    <row r="107" spans="1:11" s="152" customFormat="1" ht="18.75">
      <c r="A107" s="273" t="s">
        <v>51</v>
      </c>
      <c r="B107" s="274"/>
      <c r="C107" s="283" t="s">
        <v>360</v>
      </c>
      <c r="D107" s="276"/>
      <c r="E107" s="277"/>
      <c r="F107" s="279"/>
      <c r="G107" s="278"/>
      <c r="H107" s="278"/>
      <c r="I107" s="272"/>
      <c r="J107" s="281"/>
      <c r="K107" s="151"/>
    </row>
    <row r="108" spans="1:11" s="150" customFormat="1" ht="54">
      <c r="A108" s="153" t="s">
        <v>42</v>
      </c>
      <c r="B108" s="154" t="s">
        <v>361</v>
      </c>
      <c r="C108" s="155" t="s">
        <v>863</v>
      </c>
      <c r="D108" s="156" t="s">
        <v>44</v>
      </c>
      <c r="E108" s="178">
        <v>58.88</v>
      </c>
      <c r="F108" s="157">
        <f>TRUNC(G115,2)</f>
        <v>64.41</v>
      </c>
      <c r="G108" s="244">
        <f>TRUNC(F108*1.2882,2)</f>
        <v>82.97</v>
      </c>
      <c r="H108" s="244">
        <f>TRUNC(F108*E108,2)</f>
        <v>3792.46</v>
      </c>
      <c r="I108" s="244">
        <f>TRUNC(E108*G108,2)</f>
        <v>4885.27</v>
      </c>
      <c r="J108" s="149"/>
      <c r="K108" s="149"/>
    </row>
    <row r="109" spans="1:11" s="111" customFormat="1" ht="18.75">
      <c r="A109" s="158"/>
      <c r="B109" s="159" t="s">
        <v>362</v>
      </c>
      <c r="C109" s="160" t="s">
        <v>363</v>
      </c>
      <c r="D109" s="161" t="s">
        <v>44</v>
      </c>
      <c r="E109" s="163">
        <v>1.03</v>
      </c>
      <c r="F109" s="162">
        <f>TRUNC(54,2)</f>
        <v>54</v>
      </c>
      <c r="G109" s="260">
        <f aca="true" t="shared" si="2" ref="G109:G114">TRUNC(E109*F109,2)</f>
        <v>55.62</v>
      </c>
      <c r="H109" s="259"/>
      <c r="I109" s="259"/>
      <c r="J109" s="110"/>
      <c r="K109" s="110"/>
    </row>
    <row r="110" spans="1:11" s="111" customFormat="1" ht="18.75">
      <c r="A110" s="158"/>
      <c r="B110" s="159" t="s">
        <v>364</v>
      </c>
      <c r="C110" s="160" t="s">
        <v>365</v>
      </c>
      <c r="D110" s="161" t="s">
        <v>46</v>
      </c>
      <c r="E110" s="163">
        <v>0.972</v>
      </c>
      <c r="F110" s="162">
        <f>TRUNC(0.49,2)</f>
        <v>0.49</v>
      </c>
      <c r="G110" s="260">
        <f t="shared" si="2"/>
        <v>0.47</v>
      </c>
      <c r="H110" s="259"/>
      <c r="I110" s="259"/>
      <c r="J110" s="110"/>
      <c r="K110" s="110"/>
    </row>
    <row r="111" spans="1:11" s="111" customFormat="1" ht="18.75">
      <c r="A111" s="158"/>
      <c r="B111" s="159" t="s">
        <v>117</v>
      </c>
      <c r="C111" s="160" t="s">
        <v>864</v>
      </c>
      <c r="D111" s="161" t="s">
        <v>46</v>
      </c>
      <c r="E111" s="163">
        <v>0.972</v>
      </c>
      <c r="F111" s="162">
        <f>TRUNC(0.337,2)</f>
        <v>0.33</v>
      </c>
      <c r="G111" s="260">
        <f t="shared" si="2"/>
        <v>0.32</v>
      </c>
      <c r="H111" s="259"/>
      <c r="I111" s="259"/>
      <c r="J111" s="110"/>
      <c r="K111" s="110"/>
    </row>
    <row r="112" spans="1:11" s="111" customFormat="1" ht="18.75">
      <c r="A112" s="158"/>
      <c r="B112" s="159" t="s">
        <v>126</v>
      </c>
      <c r="C112" s="160" t="s">
        <v>366</v>
      </c>
      <c r="D112" s="161" t="s">
        <v>39</v>
      </c>
      <c r="E112" s="163">
        <v>0.0073</v>
      </c>
      <c r="F112" s="162">
        <f>TRUNC(56.5,2)</f>
        <v>56.5</v>
      </c>
      <c r="G112" s="260">
        <f t="shared" si="2"/>
        <v>0.41</v>
      </c>
      <c r="H112" s="259"/>
      <c r="I112" s="259"/>
      <c r="J112" s="110"/>
      <c r="K112" s="110"/>
    </row>
    <row r="113" spans="1:11" s="111" customFormat="1" ht="36">
      <c r="A113" s="158"/>
      <c r="B113" s="159" t="s">
        <v>40</v>
      </c>
      <c r="C113" s="160" t="s">
        <v>41</v>
      </c>
      <c r="D113" s="161" t="s">
        <v>7</v>
      </c>
      <c r="E113" s="163">
        <v>0.1545</v>
      </c>
      <c r="F113" s="162">
        <f>TRUNC(13.08,2)</f>
        <v>13.08</v>
      </c>
      <c r="G113" s="260">
        <f t="shared" si="2"/>
        <v>2.02</v>
      </c>
      <c r="H113" s="259"/>
      <c r="I113" s="259"/>
      <c r="J113" s="110"/>
      <c r="K113" s="110"/>
    </row>
    <row r="114" spans="1:11" s="111" customFormat="1" ht="18.75">
      <c r="A114" s="158"/>
      <c r="B114" s="159" t="s">
        <v>43</v>
      </c>
      <c r="C114" s="160" t="s">
        <v>100</v>
      </c>
      <c r="D114" s="161" t="s">
        <v>7</v>
      </c>
      <c r="E114" s="163">
        <v>0.309</v>
      </c>
      <c r="F114" s="162">
        <f>TRUNC(18.05,2)</f>
        <v>18.05</v>
      </c>
      <c r="G114" s="260">
        <f t="shared" si="2"/>
        <v>5.57</v>
      </c>
      <c r="H114" s="259"/>
      <c r="I114" s="259"/>
      <c r="J114" s="110"/>
      <c r="K114" s="110"/>
    </row>
    <row r="115" spans="1:11" s="111" customFormat="1" ht="18.75">
      <c r="A115" s="158"/>
      <c r="B115" s="159"/>
      <c r="C115" s="160"/>
      <c r="D115" s="161"/>
      <c r="E115" s="163" t="s">
        <v>5</v>
      </c>
      <c r="F115" s="162"/>
      <c r="G115" s="260">
        <f>TRUNC(SUM(G109:G114),2)</f>
        <v>64.41</v>
      </c>
      <c r="H115" s="259"/>
      <c r="I115" s="259"/>
      <c r="J115" s="110"/>
      <c r="K115" s="110"/>
    </row>
    <row r="116" spans="1:11" s="150" customFormat="1" ht="54">
      <c r="A116" s="153" t="s">
        <v>56</v>
      </c>
      <c r="B116" s="154" t="s">
        <v>233</v>
      </c>
      <c r="C116" s="155" t="s">
        <v>865</v>
      </c>
      <c r="D116" s="156" t="s">
        <v>44</v>
      </c>
      <c r="E116" s="178">
        <v>170</v>
      </c>
      <c r="F116" s="157">
        <f>TRUNC(G121,2)</f>
        <v>24.39</v>
      </c>
      <c r="G116" s="244">
        <f>TRUNC(F116*1.2882,2)</f>
        <v>31.41</v>
      </c>
      <c r="H116" s="244">
        <f>TRUNC(F116*E116,2)</f>
        <v>4146.3</v>
      </c>
      <c r="I116" s="244">
        <f>TRUNC(E116*G116,2)</f>
        <v>5339.7</v>
      </c>
      <c r="J116" s="149"/>
      <c r="K116" s="149"/>
    </row>
    <row r="117" spans="1:11" s="111" customFormat="1" ht="36">
      <c r="A117" s="285"/>
      <c r="B117" s="286" t="s">
        <v>40</v>
      </c>
      <c r="C117" s="160" t="s">
        <v>41</v>
      </c>
      <c r="D117" s="287" t="s">
        <v>7</v>
      </c>
      <c r="E117" s="288">
        <v>0.41200000000000003</v>
      </c>
      <c r="F117" s="289">
        <f>TRUNC(13.08,2)</f>
        <v>13.08</v>
      </c>
      <c r="G117" s="260">
        <f>TRUNC(E117*F117,2)</f>
        <v>5.38</v>
      </c>
      <c r="H117" s="259"/>
      <c r="I117" s="259"/>
      <c r="J117" s="110"/>
      <c r="K117" s="110"/>
    </row>
    <row r="118" spans="1:11" s="111" customFormat="1" ht="18.75">
      <c r="A118" s="158"/>
      <c r="B118" s="159" t="s">
        <v>43</v>
      </c>
      <c r="C118" s="160" t="s">
        <v>100</v>
      </c>
      <c r="D118" s="161" t="s">
        <v>7</v>
      </c>
      <c r="E118" s="163">
        <v>0.41200000000000003</v>
      </c>
      <c r="F118" s="162">
        <f>TRUNC(18.05,2)</f>
        <v>18.05</v>
      </c>
      <c r="G118" s="260">
        <f>TRUNC(E118*F118,2)</f>
        <v>7.43</v>
      </c>
      <c r="H118" s="259"/>
      <c r="I118" s="259"/>
      <c r="J118" s="110"/>
      <c r="K118" s="110"/>
    </row>
    <row r="119" spans="1:11" s="111" customFormat="1" ht="36">
      <c r="A119" s="158"/>
      <c r="B119" s="159" t="s">
        <v>147</v>
      </c>
      <c r="C119" s="160" t="s">
        <v>287</v>
      </c>
      <c r="D119" s="161" t="s">
        <v>44</v>
      </c>
      <c r="E119" s="163">
        <v>1</v>
      </c>
      <c r="F119" s="162">
        <f>TRUNC(4.5364,2)</f>
        <v>4.53</v>
      </c>
      <c r="G119" s="260">
        <f>TRUNC(E119*F119,2)</f>
        <v>4.53</v>
      </c>
      <c r="H119" s="259"/>
      <c r="I119" s="259"/>
      <c r="J119" s="110"/>
      <c r="K119" s="110"/>
    </row>
    <row r="120" spans="1:11" s="111" customFormat="1" ht="18.75">
      <c r="A120" s="158"/>
      <c r="B120" s="159" t="s">
        <v>975</v>
      </c>
      <c r="C120" s="160" t="s">
        <v>866</v>
      </c>
      <c r="D120" s="161" t="s">
        <v>39</v>
      </c>
      <c r="E120" s="163">
        <v>0.03</v>
      </c>
      <c r="F120" s="162">
        <f>TRUNC(235.0135,2)</f>
        <v>235.01</v>
      </c>
      <c r="G120" s="260">
        <f>TRUNC(E120*F120,2)</f>
        <v>7.05</v>
      </c>
      <c r="H120" s="259"/>
      <c r="I120" s="259"/>
      <c r="J120" s="110"/>
      <c r="K120" s="110"/>
    </row>
    <row r="121" spans="1:11" s="111" customFormat="1" ht="18.75">
      <c r="A121" s="285"/>
      <c r="B121" s="286"/>
      <c r="C121" s="160"/>
      <c r="D121" s="287"/>
      <c r="E121" s="288" t="s">
        <v>5</v>
      </c>
      <c r="F121" s="289"/>
      <c r="G121" s="260">
        <f>TRUNC(SUM(G117:G120),2)</f>
        <v>24.39</v>
      </c>
      <c r="H121" s="259"/>
      <c r="I121" s="259"/>
      <c r="J121" s="110"/>
      <c r="K121" s="110"/>
    </row>
    <row r="122" spans="1:11" s="190" customFormat="1" ht="36">
      <c r="A122" s="184" t="s">
        <v>367</v>
      </c>
      <c r="B122" s="185" t="s">
        <v>976</v>
      </c>
      <c r="C122" s="186" t="s">
        <v>375</v>
      </c>
      <c r="D122" s="187" t="s">
        <v>44</v>
      </c>
      <c r="E122" s="148">
        <v>39.78</v>
      </c>
      <c r="F122" s="188">
        <f>TRUNC(G129,2)</f>
        <v>92.2</v>
      </c>
      <c r="G122" s="244">
        <f>TRUNC(F122*1.2882,2)</f>
        <v>118.77</v>
      </c>
      <c r="H122" s="244">
        <f>TRUNC(F122*E122,2)</f>
        <v>3667.71</v>
      </c>
      <c r="I122" s="244">
        <f>TRUNC(E122*G122,2)</f>
        <v>4724.67</v>
      </c>
      <c r="J122" s="189"/>
      <c r="K122" s="189"/>
    </row>
    <row r="123" spans="1:11" s="111" customFormat="1" ht="18.75">
      <c r="A123" s="158"/>
      <c r="B123" s="159" t="s">
        <v>977</v>
      </c>
      <c r="C123" s="160" t="s">
        <v>368</v>
      </c>
      <c r="D123" s="161" t="s">
        <v>46</v>
      </c>
      <c r="E123" s="163">
        <v>8.62</v>
      </c>
      <c r="F123" s="162">
        <f>TRUNC(1.52,2)</f>
        <v>1.52</v>
      </c>
      <c r="G123" s="260">
        <f aca="true" t="shared" si="3" ref="G123:G128">TRUNC(E123*F123,2)</f>
        <v>13.1</v>
      </c>
      <c r="H123" s="259"/>
      <c r="I123" s="259"/>
      <c r="J123" s="110"/>
      <c r="K123" s="110"/>
    </row>
    <row r="124" spans="1:11" s="183" customFormat="1" ht="18.75">
      <c r="A124" s="261"/>
      <c r="B124" s="262" t="s">
        <v>978</v>
      </c>
      <c r="C124" s="263" t="s">
        <v>369</v>
      </c>
      <c r="D124" s="193" t="s">
        <v>46</v>
      </c>
      <c r="E124" s="146">
        <v>0</v>
      </c>
      <c r="F124" s="195">
        <f>TRUNC(3.18,2)</f>
        <v>3.18</v>
      </c>
      <c r="G124" s="264">
        <f t="shared" si="3"/>
        <v>0</v>
      </c>
      <c r="H124" s="265"/>
      <c r="I124" s="265"/>
      <c r="J124" s="197"/>
      <c r="K124" s="197"/>
    </row>
    <row r="125" spans="1:11" s="183" customFormat="1" ht="18.75">
      <c r="A125" s="261"/>
      <c r="B125" s="262" t="s">
        <v>960</v>
      </c>
      <c r="C125" s="263" t="s">
        <v>370</v>
      </c>
      <c r="D125" s="193" t="s">
        <v>46</v>
      </c>
      <c r="E125" s="146">
        <v>0.24</v>
      </c>
      <c r="F125" s="195">
        <v>55.57</v>
      </c>
      <c r="G125" s="264">
        <f t="shared" si="3"/>
        <v>13.33</v>
      </c>
      <c r="H125" s="265"/>
      <c r="I125" s="265"/>
      <c r="J125" s="197"/>
      <c r="K125" s="197"/>
    </row>
    <row r="126" spans="1:11" s="111" customFormat="1" ht="18.75">
      <c r="A126" s="158"/>
      <c r="B126" s="159" t="s">
        <v>979</v>
      </c>
      <c r="C126" s="160" t="s">
        <v>376</v>
      </c>
      <c r="D126" s="161" t="s">
        <v>44</v>
      </c>
      <c r="E126" s="163">
        <v>1.06</v>
      </c>
      <c r="F126" s="162">
        <f>TRUNC(48.77,2)</f>
        <v>48.77</v>
      </c>
      <c r="G126" s="260">
        <f t="shared" si="3"/>
        <v>51.69</v>
      </c>
      <c r="H126" s="259"/>
      <c r="I126" s="259"/>
      <c r="J126" s="110"/>
      <c r="K126" s="110"/>
    </row>
    <row r="127" spans="1:11" s="111" customFormat="1" ht="18.75">
      <c r="A127" s="158"/>
      <c r="B127" s="159" t="s">
        <v>964</v>
      </c>
      <c r="C127" s="160" t="s">
        <v>286</v>
      </c>
      <c r="D127" s="161" t="s">
        <v>7</v>
      </c>
      <c r="E127" s="163">
        <v>0.19</v>
      </c>
      <c r="F127" s="162">
        <f>TRUNC(19.85,2)</f>
        <v>19.85</v>
      </c>
      <c r="G127" s="260">
        <f t="shared" si="3"/>
        <v>3.77</v>
      </c>
      <c r="H127" s="259"/>
      <c r="I127" s="259"/>
      <c r="J127" s="110"/>
      <c r="K127" s="110"/>
    </row>
    <row r="128" spans="1:11" s="111" customFormat="1" ht="18.75">
      <c r="A128" s="158"/>
      <c r="B128" s="159" t="s">
        <v>965</v>
      </c>
      <c r="C128" s="160" t="s">
        <v>340</v>
      </c>
      <c r="D128" s="161" t="s">
        <v>7</v>
      </c>
      <c r="E128" s="163">
        <v>0.39</v>
      </c>
      <c r="F128" s="162">
        <f>TRUNC(26.44,2)</f>
        <v>26.44</v>
      </c>
      <c r="G128" s="260">
        <f t="shared" si="3"/>
        <v>10.31</v>
      </c>
      <c r="H128" s="259"/>
      <c r="I128" s="259"/>
      <c r="J128" s="110"/>
      <c r="K128" s="110"/>
    </row>
    <row r="129" spans="1:11" s="183" customFormat="1" ht="18.75">
      <c r="A129" s="261"/>
      <c r="B129" s="262"/>
      <c r="C129" s="263"/>
      <c r="D129" s="193"/>
      <c r="E129" s="146" t="s">
        <v>5</v>
      </c>
      <c r="F129" s="195"/>
      <c r="G129" s="264">
        <f>TRUNC(SUM(G123:G128),2)</f>
        <v>92.2</v>
      </c>
      <c r="H129" s="265"/>
      <c r="I129" s="265"/>
      <c r="J129" s="197"/>
      <c r="K129" s="197"/>
    </row>
    <row r="130" spans="1:11" s="190" customFormat="1" ht="18.75">
      <c r="A130" s="184" t="s">
        <v>377</v>
      </c>
      <c r="B130" s="185" t="s">
        <v>867</v>
      </c>
      <c r="C130" s="186" t="s">
        <v>667</v>
      </c>
      <c r="D130" s="187" t="s">
        <v>106</v>
      </c>
      <c r="E130" s="148">
        <v>15.18</v>
      </c>
      <c r="F130" s="188">
        <f>TRUNC(G138,2)</f>
        <v>156.65</v>
      </c>
      <c r="G130" s="244">
        <f>TRUNC(F130*1.2882,2)</f>
        <v>201.79</v>
      </c>
      <c r="H130" s="244">
        <f>TRUNC(F130*E130,2)</f>
        <v>2377.94</v>
      </c>
      <c r="I130" s="244">
        <f>TRUNC(E130*G130,2)</f>
        <v>3063.17</v>
      </c>
      <c r="J130" s="189"/>
      <c r="K130" s="189"/>
    </row>
    <row r="131" spans="1:9" ht="72">
      <c r="A131" s="31"/>
      <c r="B131" s="79" t="s">
        <v>164</v>
      </c>
      <c r="C131" s="99" t="s">
        <v>961</v>
      </c>
      <c r="D131" s="18" t="s">
        <v>44</v>
      </c>
      <c r="E131" s="169">
        <v>1</v>
      </c>
      <c r="F131" s="19">
        <f>TRUNC(70.44077,2)</f>
        <v>70.44</v>
      </c>
      <c r="G131" s="239">
        <f aca="true" t="shared" si="4" ref="G131:G137">TRUNC(E131*F131,2)</f>
        <v>70.44</v>
      </c>
      <c r="H131" s="128"/>
      <c r="I131" s="128"/>
    </row>
    <row r="132" spans="1:11" s="183" customFormat="1" ht="18.75">
      <c r="A132" s="191"/>
      <c r="B132" s="192" t="s">
        <v>162</v>
      </c>
      <c r="C132" s="263" t="s">
        <v>373</v>
      </c>
      <c r="D132" s="193" t="s">
        <v>0</v>
      </c>
      <c r="E132" s="194">
        <v>0</v>
      </c>
      <c r="F132" s="195">
        <f>TRUNC(8.4,2)</f>
        <v>8.4</v>
      </c>
      <c r="G132" s="196">
        <f t="shared" si="4"/>
        <v>0</v>
      </c>
      <c r="H132" s="196"/>
      <c r="I132" s="196"/>
      <c r="J132" s="197"/>
      <c r="K132" s="197"/>
    </row>
    <row r="133" spans="1:11" s="183" customFormat="1" ht="18.75">
      <c r="A133" s="191"/>
      <c r="B133" s="262" t="s">
        <v>960</v>
      </c>
      <c r="C133" s="263" t="s">
        <v>370</v>
      </c>
      <c r="D133" s="193" t="s">
        <v>46</v>
      </c>
      <c r="E133" s="194">
        <v>1.6</v>
      </c>
      <c r="F133" s="195">
        <v>55.57</v>
      </c>
      <c r="G133" s="196">
        <f t="shared" si="4"/>
        <v>88.91</v>
      </c>
      <c r="H133" s="196"/>
      <c r="I133" s="196"/>
      <c r="J133" s="197"/>
      <c r="K133" s="197"/>
    </row>
    <row r="134" spans="1:11" s="111" customFormat="1" ht="18.75">
      <c r="A134" s="179"/>
      <c r="B134" s="182" t="s">
        <v>163</v>
      </c>
      <c r="C134" s="160" t="s">
        <v>374</v>
      </c>
      <c r="D134" s="161" t="s">
        <v>0</v>
      </c>
      <c r="E134" s="180">
        <v>0.2</v>
      </c>
      <c r="F134" s="162">
        <f>TRUNC(20,2)</f>
        <v>20</v>
      </c>
      <c r="G134" s="290">
        <f t="shared" si="4"/>
        <v>4</v>
      </c>
      <c r="H134" s="290"/>
      <c r="I134" s="290"/>
      <c r="J134" s="110"/>
      <c r="K134" s="110"/>
    </row>
    <row r="135" spans="1:11" s="111" customFormat="1" ht="36">
      <c r="A135" s="179"/>
      <c r="B135" s="182" t="s">
        <v>165</v>
      </c>
      <c r="C135" s="160" t="s">
        <v>962</v>
      </c>
      <c r="D135" s="161" t="s">
        <v>44</v>
      </c>
      <c r="E135" s="180">
        <v>1.1</v>
      </c>
      <c r="F135" s="162">
        <f>TRUNC(30.56,2)</f>
        <v>30.56</v>
      </c>
      <c r="G135" s="290">
        <f t="shared" si="4"/>
        <v>33.61</v>
      </c>
      <c r="H135" s="290"/>
      <c r="I135" s="290"/>
      <c r="J135" s="110"/>
      <c r="K135" s="110"/>
    </row>
    <row r="136" spans="1:9" ht="36">
      <c r="A136" s="33"/>
      <c r="B136" s="64" t="s">
        <v>40</v>
      </c>
      <c r="C136" s="101" t="s">
        <v>41</v>
      </c>
      <c r="D136" s="22" t="s">
        <v>7</v>
      </c>
      <c r="E136" s="167">
        <v>0.927</v>
      </c>
      <c r="F136" s="24">
        <f>TRUNC(13.08,2)</f>
        <v>13.08</v>
      </c>
      <c r="G136" s="128">
        <f t="shared" si="4"/>
        <v>12.12</v>
      </c>
      <c r="H136" s="128"/>
      <c r="I136" s="128"/>
    </row>
    <row r="137" spans="1:9" ht="18.75">
      <c r="A137" s="33"/>
      <c r="B137" s="64" t="s">
        <v>111</v>
      </c>
      <c r="C137" s="101" t="s">
        <v>306</v>
      </c>
      <c r="D137" s="22" t="s">
        <v>7</v>
      </c>
      <c r="E137" s="167">
        <v>0.927</v>
      </c>
      <c r="F137" s="24">
        <f>TRUNC(19.43,2)</f>
        <v>19.43</v>
      </c>
      <c r="G137" s="128">
        <f t="shared" si="4"/>
        <v>18.01</v>
      </c>
      <c r="H137" s="128"/>
      <c r="I137" s="128"/>
    </row>
    <row r="138" spans="1:9" ht="18.75">
      <c r="A138" s="33"/>
      <c r="B138" s="64"/>
      <c r="C138" s="101"/>
      <c r="D138" s="22"/>
      <c r="E138" s="167" t="s">
        <v>5</v>
      </c>
      <c r="F138" s="24"/>
      <c r="G138" s="128">
        <f>TRUNC(SUM(G132:G137),2)</f>
        <v>156.65</v>
      </c>
      <c r="H138" s="128"/>
      <c r="I138" s="128"/>
    </row>
    <row r="139" spans="1:11" s="190" customFormat="1" ht="18.75">
      <c r="A139" s="184" t="s">
        <v>388</v>
      </c>
      <c r="B139" s="185" t="s">
        <v>868</v>
      </c>
      <c r="C139" s="186" t="s">
        <v>666</v>
      </c>
      <c r="D139" s="187" t="s">
        <v>106</v>
      </c>
      <c r="E139" s="148">
        <v>4.69</v>
      </c>
      <c r="F139" s="188">
        <f>TRUNC(G148,2)</f>
        <v>267.21</v>
      </c>
      <c r="G139" s="244">
        <f>TRUNC(F139*1.2882,2)</f>
        <v>344.21</v>
      </c>
      <c r="H139" s="244">
        <f>TRUNC(F139*E139,2)</f>
        <v>1253.21</v>
      </c>
      <c r="I139" s="244">
        <f>TRUNC(E139*G139,2)</f>
        <v>1614.34</v>
      </c>
      <c r="J139" s="189"/>
      <c r="K139" s="189"/>
    </row>
    <row r="140" spans="1:11" ht="72">
      <c r="A140" s="33"/>
      <c r="B140" s="100" t="s">
        <v>378</v>
      </c>
      <c r="C140" s="103" t="s">
        <v>379</v>
      </c>
      <c r="D140" s="22" t="s">
        <v>44</v>
      </c>
      <c r="E140" s="167">
        <v>1</v>
      </c>
      <c r="F140" s="24">
        <f>TRUNC(105.8000978,2)</f>
        <v>105.8</v>
      </c>
      <c r="G140" s="239">
        <f aca="true" t="shared" si="5" ref="G140:G147">TRUNC(E140*F140,2)</f>
        <v>105.8</v>
      </c>
      <c r="H140" s="128"/>
      <c r="I140" s="128"/>
      <c r="K140" s="63"/>
    </row>
    <row r="141" spans="1:11" ht="18.75">
      <c r="A141" s="33"/>
      <c r="B141" s="100" t="s">
        <v>380</v>
      </c>
      <c r="C141" s="103" t="s">
        <v>381</v>
      </c>
      <c r="D141" s="22" t="s">
        <v>44</v>
      </c>
      <c r="E141" s="167">
        <v>1.1</v>
      </c>
      <c r="F141" s="24">
        <f>TRUNC(58.45,2)</f>
        <v>58.45</v>
      </c>
      <c r="G141" s="128">
        <f t="shared" si="5"/>
        <v>64.29</v>
      </c>
      <c r="H141" s="128"/>
      <c r="I141" s="128"/>
      <c r="K141" s="63"/>
    </row>
    <row r="142" spans="1:11" ht="36">
      <c r="A142" s="33"/>
      <c r="B142" s="100" t="s">
        <v>40</v>
      </c>
      <c r="C142" s="103" t="s">
        <v>41</v>
      </c>
      <c r="D142" s="22" t="s">
        <v>7</v>
      </c>
      <c r="E142" s="167">
        <v>0.7725</v>
      </c>
      <c r="F142" s="24">
        <f>TRUNC(13.08,2)</f>
        <v>13.08</v>
      </c>
      <c r="G142" s="128">
        <f t="shared" si="5"/>
        <v>10.1</v>
      </c>
      <c r="H142" s="128"/>
      <c r="I142" s="128"/>
      <c r="K142" s="63"/>
    </row>
    <row r="143" spans="1:11" ht="18.75">
      <c r="A143" s="33"/>
      <c r="B143" s="100" t="s">
        <v>382</v>
      </c>
      <c r="C143" s="103" t="s">
        <v>383</v>
      </c>
      <c r="D143" s="22" t="s">
        <v>7</v>
      </c>
      <c r="E143" s="167">
        <v>0.7725</v>
      </c>
      <c r="F143" s="24">
        <f>TRUNC(19.43,2)</f>
        <v>19.43</v>
      </c>
      <c r="G143" s="128">
        <f t="shared" si="5"/>
        <v>15</v>
      </c>
      <c r="H143" s="128"/>
      <c r="I143" s="128"/>
      <c r="K143" s="63"/>
    </row>
    <row r="144" spans="1:11" ht="36">
      <c r="A144" s="33"/>
      <c r="B144" s="100" t="s">
        <v>147</v>
      </c>
      <c r="C144" s="103" t="s">
        <v>287</v>
      </c>
      <c r="D144" s="22" t="s">
        <v>44</v>
      </c>
      <c r="E144" s="167">
        <v>0</v>
      </c>
      <c r="F144" s="24">
        <f>TRUNC(4.5364,2)</f>
        <v>4.53</v>
      </c>
      <c r="G144" s="128">
        <f t="shared" si="5"/>
        <v>0</v>
      </c>
      <c r="H144" s="128"/>
      <c r="I144" s="128"/>
      <c r="K144" s="63"/>
    </row>
    <row r="145" spans="1:11" s="73" customFormat="1" ht="18.75">
      <c r="A145" s="67"/>
      <c r="B145" s="112" t="s">
        <v>384</v>
      </c>
      <c r="C145" s="108" t="s">
        <v>385</v>
      </c>
      <c r="D145" s="68" t="s">
        <v>39</v>
      </c>
      <c r="E145" s="170">
        <v>0</v>
      </c>
      <c r="F145" s="61">
        <f>TRUNC(304.5484,2)</f>
        <v>304.54</v>
      </c>
      <c r="G145" s="145">
        <f t="shared" si="5"/>
        <v>0</v>
      </c>
      <c r="H145" s="145"/>
      <c r="I145" s="145"/>
      <c r="J145" s="63"/>
      <c r="K145" s="63"/>
    </row>
    <row r="146" spans="1:11" s="73" customFormat="1" ht="18.75">
      <c r="A146" s="67"/>
      <c r="B146" s="192" t="s">
        <v>960</v>
      </c>
      <c r="C146" s="108" t="s">
        <v>370</v>
      </c>
      <c r="D146" s="68" t="s">
        <v>46</v>
      </c>
      <c r="E146" s="170">
        <v>3.2</v>
      </c>
      <c r="F146" s="61">
        <v>55.57</v>
      </c>
      <c r="G146" s="145">
        <f t="shared" si="5"/>
        <v>177.82</v>
      </c>
      <c r="H146" s="145"/>
      <c r="I146" s="145"/>
      <c r="J146" s="63"/>
      <c r="K146" s="63"/>
    </row>
    <row r="147" spans="1:11" s="73" customFormat="1" ht="18.75">
      <c r="A147" s="67"/>
      <c r="B147" s="112" t="s">
        <v>386</v>
      </c>
      <c r="C147" s="108" t="s">
        <v>387</v>
      </c>
      <c r="D147" s="68" t="s">
        <v>39</v>
      </c>
      <c r="E147" s="170">
        <v>0</v>
      </c>
      <c r="F147" s="61">
        <f>TRUNC(1921.2516,2)</f>
        <v>1921.25</v>
      </c>
      <c r="G147" s="145">
        <f t="shared" si="5"/>
        <v>0</v>
      </c>
      <c r="H147" s="145"/>
      <c r="I147" s="145"/>
      <c r="J147" s="63"/>
      <c r="K147" s="63"/>
    </row>
    <row r="148" spans="1:11" ht="18.75">
      <c r="A148" s="33"/>
      <c r="B148" s="100"/>
      <c r="C148" s="103"/>
      <c r="D148" s="22"/>
      <c r="E148" s="167" t="s">
        <v>5</v>
      </c>
      <c r="F148" s="24"/>
      <c r="G148" s="128">
        <f>TRUNC(SUM(G141:G147),2)</f>
        <v>267.21</v>
      </c>
      <c r="H148" s="128"/>
      <c r="I148" s="128"/>
      <c r="K148" s="63"/>
    </row>
    <row r="149" spans="1:11" s="190" customFormat="1" ht="36">
      <c r="A149" s="184" t="s">
        <v>389</v>
      </c>
      <c r="B149" s="185" t="s">
        <v>980</v>
      </c>
      <c r="C149" s="186" t="s">
        <v>985</v>
      </c>
      <c r="D149" s="187" t="s">
        <v>44</v>
      </c>
      <c r="E149" s="148">
        <v>74.38</v>
      </c>
      <c r="F149" s="188">
        <f>TRUNC(G156,2)</f>
        <v>90.77</v>
      </c>
      <c r="G149" s="244">
        <f>TRUNC(F149*1.2882,2)</f>
        <v>116.92</v>
      </c>
      <c r="H149" s="244">
        <f>TRUNC(F149*E149,2)</f>
        <v>6751.47</v>
      </c>
      <c r="I149" s="244">
        <f>TRUNC(E149*G149,2)</f>
        <v>8696.5</v>
      </c>
      <c r="J149" s="189"/>
      <c r="K149" s="189"/>
    </row>
    <row r="150" spans="1:11" s="111" customFormat="1" ht="36">
      <c r="A150" s="158"/>
      <c r="B150" s="159" t="s">
        <v>981</v>
      </c>
      <c r="C150" s="160" t="s">
        <v>982</v>
      </c>
      <c r="D150" s="161" t="s">
        <v>44</v>
      </c>
      <c r="E150" s="163">
        <v>1</v>
      </c>
      <c r="F150" s="162">
        <f>TRUNC(90.7832,2)</f>
        <v>90.78</v>
      </c>
      <c r="G150" s="260">
        <f aca="true" t="shared" si="6" ref="G150:G155">TRUNC(E150*F150,2)</f>
        <v>90.78</v>
      </c>
      <c r="H150" s="259"/>
      <c r="I150" s="259"/>
      <c r="J150" s="110"/>
      <c r="K150" s="110"/>
    </row>
    <row r="151" spans="1:11" s="111" customFormat="1" ht="18.75">
      <c r="A151" s="158"/>
      <c r="B151" s="159" t="s">
        <v>983</v>
      </c>
      <c r="C151" s="160" t="s">
        <v>984</v>
      </c>
      <c r="D151" s="161" t="s">
        <v>44</v>
      </c>
      <c r="E151" s="163">
        <v>1.07</v>
      </c>
      <c r="F151" s="162">
        <f>TRUNC(57.6,2)</f>
        <v>57.6</v>
      </c>
      <c r="G151" s="260">
        <f t="shared" si="6"/>
        <v>61.63</v>
      </c>
      <c r="H151" s="259"/>
      <c r="I151" s="259"/>
      <c r="J151" s="110"/>
      <c r="K151" s="110"/>
    </row>
    <row r="152" spans="1:11" s="111" customFormat="1" ht="18.75">
      <c r="A152" s="158"/>
      <c r="B152" s="159" t="s">
        <v>977</v>
      </c>
      <c r="C152" s="160" t="s">
        <v>368</v>
      </c>
      <c r="D152" s="161" t="s">
        <v>46</v>
      </c>
      <c r="E152" s="163">
        <v>8.62</v>
      </c>
      <c r="F152" s="162">
        <f>TRUNC(1.52,2)</f>
        <v>1.52</v>
      </c>
      <c r="G152" s="260">
        <f t="shared" si="6"/>
        <v>13.1</v>
      </c>
      <c r="H152" s="259"/>
      <c r="I152" s="259"/>
      <c r="J152" s="110"/>
      <c r="K152" s="110"/>
    </row>
    <row r="153" spans="1:11" s="111" customFormat="1" ht="18.75">
      <c r="A153" s="158"/>
      <c r="B153" s="159" t="s">
        <v>978</v>
      </c>
      <c r="C153" s="160" t="s">
        <v>369</v>
      </c>
      <c r="D153" s="161" t="s">
        <v>46</v>
      </c>
      <c r="E153" s="163">
        <v>0.14</v>
      </c>
      <c r="F153" s="162">
        <f>TRUNC(3.18,2)</f>
        <v>3.18</v>
      </c>
      <c r="G153" s="260">
        <f t="shared" si="6"/>
        <v>0.44</v>
      </c>
      <c r="H153" s="259"/>
      <c r="I153" s="259"/>
      <c r="J153" s="110"/>
      <c r="K153" s="110"/>
    </row>
    <row r="154" spans="1:11" s="111" customFormat="1" ht="18.75">
      <c r="A154" s="158"/>
      <c r="B154" s="159" t="s">
        <v>964</v>
      </c>
      <c r="C154" s="160" t="s">
        <v>286</v>
      </c>
      <c r="D154" s="161" t="s">
        <v>7</v>
      </c>
      <c r="E154" s="163">
        <v>0.2</v>
      </c>
      <c r="F154" s="162">
        <f>TRUNC(19.85,2)</f>
        <v>19.85</v>
      </c>
      <c r="G154" s="260">
        <f t="shared" si="6"/>
        <v>3.97</v>
      </c>
      <c r="H154" s="259"/>
      <c r="I154" s="259"/>
      <c r="J154" s="110"/>
      <c r="K154" s="110"/>
    </row>
    <row r="155" spans="1:11" s="111" customFormat="1" ht="18.75">
      <c r="A155" s="158"/>
      <c r="B155" s="159" t="s">
        <v>965</v>
      </c>
      <c r="C155" s="160" t="s">
        <v>340</v>
      </c>
      <c r="D155" s="161" t="s">
        <v>7</v>
      </c>
      <c r="E155" s="163">
        <v>0.44</v>
      </c>
      <c r="F155" s="162">
        <f>TRUNC(26.44,2)</f>
        <v>26.44</v>
      </c>
      <c r="G155" s="260">
        <f t="shared" si="6"/>
        <v>11.63</v>
      </c>
      <c r="H155" s="259"/>
      <c r="I155" s="259"/>
      <c r="J155" s="110"/>
      <c r="K155" s="110"/>
    </row>
    <row r="156" spans="1:11" s="111" customFormat="1" ht="18.75">
      <c r="A156" s="158"/>
      <c r="B156" s="159"/>
      <c r="C156" s="160"/>
      <c r="D156" s="161"/>
      <c r="E156" s="163" t="s">
        <v>5</v>
      </c>
      <c r="F156" s="162"/>
      <c r="G156" s="260">
        <f>TRUNC(SUM(G151:G155),2)</f>
        <v>90.77</v>
      </c>
      <c r="H156" s="259"/>
      <c r="I156" s="259"/>
      <c r="J156" s="110"/>
      <c r="K156" s="110"/>
    </row>
    <row r="157" spans="1:11" s="190" customFormat="1" ht="36">
      <c r="A157" s="184" t="s">
        <v>390</v>
      </c>
      <c r="B157" s="185" t="s">
        <v>391</v>
      </c>
      <c r="C157" s="186" t="s">
        <v>392</v>
      </c>
      <c r="D157" s="187" t="s">
        <v>52</v>
      </c>
      <c r="E157" s="148">
        <v>58.62</v>
      </c>
      <c r="F157" s="188">
        <f>TRUNC(G165,2)</f>
        <v>34.63</v>
      </c>
      <c r="G157" s="244">
        <f>TRUNC(F157*1.2882,2)</f>
        <v>44.61</v>
      </c>
      <c r="H157" s="244">
        <f>TRUNC(F157*E157,2)</f>
        <v>2030.01</v>
      </c>
      <c r="I157" s="244">
        <f>TRUNC(E157*G157,2)</f>
        <v>2615.03</v>
      </c>
      <c r="J157" s="189"/>
      <c r="K157" s="189"/>
    </row>
    <row r="158" spans="1:11" s="111" customFormat="1" ht="36">
      <c r="A158" s="158"/>
      <c r="B158" s="159" t="s">
        <v>371</v>
      </c>
      <c r="C158" s="160" t="s">
        <v>372</v>
      </c>
      <c r="D158" s="161" t="s">
        <v>44</v>
      </c>
      <c r="E158" s="163">
        <v>0.12</v>
      </c>
      <c r="F158" s="162">
        <f>TRUNC(97.84,2)</f>
        <v>97.84</v>
      </c>
      <c r="G158" s="260">
        <f aca="true" t="shared" si="7" ref="G158:G164">TRUNC(E158*F158,2)</f>
        <v>11.74</v>
      </c>
      <c r="H158" s="259"/>
      <c r="I158" s="259"/>
      <c r="J158" s="110"/>
      <c r="K158" s="110"/>
    </row>
    <row r="159" spans="1:11" s="111" customFormat="1" ht="18.75">
      <c r="A159" s="158"/>
      <c r="B159" s="159" t="s">
        <v>162</v>
      </c>
      <c r="C159" s="160" t="s">
        <v>373</v>
      </c>
      <c r="D159" s="161" t="s">
        <v>0</v>
      </c>
      <c r="E159" s="163">
        <v>0.032</v>
      </c>
      <c r="F159" s="162">
        <f>TRUNC(8.4,2)</f>
        <v>8.4</v>
      </c>
      <c r="G159" s="260">
        <f t="shared" si="7"/>
        <v>0.26</v>
      </c>
      <c r="H159" s="259"/>
      <c r="I159" s="259"/>
      <c r="J159" s="110"/>
      <c r="K159" s="110"/>
    </row>
    <row r="160" spans="1:11" s="111" customFormat="1" ht="18.75">
      <c r="A160" s="158"/>
      <c r="B160" s="159" t="s">
        <v>163</v>
      </c>
      <c r="C160" s="160" t="s">
        <v>374</v>
      </c>
      <c r="D160" s="161" t="s">
        <v>0</v>
      </c>
      <c r="E160" s="163">
        <v>0.02</v>
      </c>
      <c r="F160" s="162">
        <f>TRUNC(20,2)</f>
        <v>20</v>
      </c>
      <c r="G160" s="260">
        <f t="shared" si="7"/>
        <v>0.4</v>
      </c>
      <c r="H160" s="259"/>
      <c r="I160" s="259"/>
      <c r="J160" s="110"/>
      <c r="K160" s="110"/>
    </row>
    <row r="161" spans="1:11" s="111" customFormat="1" ht="18.75">
      <c r="A161" s="158"/>
      <c r="B161" s="159" t="s">
        <v>393</v>
      </c>
      <c r="C161" s="160" t="s">
        <v>394</v>
      </c>
      <c r="D161" s="161" t="s">
        <v>46</v>
      </c>
      <c r="E161" s="163">
        <v>3.2</v>
      </c>
      <c r="F161" s="162">
        <f>TRUNC(0.36,2)</f>
        <v>0.36</v>
      </c>
      <c r="G161" s="260">
        <f t="shared" si="7"/>
        <v>1.15</v>
      </c>
      <c r="H161" s="259"/>
      <c r="I161" s="259"/>
      <c r="J161" s="110"/>
      <c r="K161" s="110"/>
    </row>
    <row r="162" spans="1:11" s="111" customFormat="1" ht="36">
      <c r="A162" s="158"/>
      <c r="B162" s="159" t="s">
        <v>40</v>
      </c>
      <c r="C162" s="160" t="s">
        <v>41</v>
      </c>
      <c r="D162" s="161" t="s">
        <v>7</v>
      </c>
      <c r="E162" s="163">
        <v>0.7519</v>
      </c>
      <c r="F162" s="162">
        <f>TRUNC(13.08,2)</f>
        <v>13.08</v>
      </c>
      <c r="G162" s="260">
        <f t="shared" si="7"/>
        <v>9.83</v>
      </c>
      <c r="H162" s="259"/>
      <c r="I162" s="259"/>
      <c r="J162" s="110"/>
      <c r="K162" s="110"/>
    </row>
    <row r="163" spans="1:11" s="111" customFormat="1" ht="18.75">
      <c r="A163" s="158"/>
      <c r="B163" s="159" t="s">
        <v>111</v>
      </c>
      <c r="C163" s="160" t="s">
        <v>306</v>
      </c>
      <c r="D163" s="161" t="s">
        <v>7</v>
      </c>
      <c r="E163" s="163">
        <v>0.5562</v>
      </c>
      <c r="F163" s="162">
        <f>TRUNC(19.43,2)</f>
        <v>19.43</v>
      </c>
      <c r="G163" s="260">
        <f t="shared" si="7"/>
        <v>10.8</v>
      </c>
      <c r="H163" s="259"/>
      <c r="I163" s="259"/>
      <c r="J163" s="110"/>
      <c r="K163" s="110"/>
    </row>
    <row r="164" spans="1:11" s="111" customFormat="1" ht="36">
      <c r="A164" s="158"/>
      <c r="B164" s="159" t="s">
        <v>147</v>
      </c>
      <c r="C164" s="160" t="s">
        <v>287</v>
      </c>
      <c r="D164" s="161" t="s">
        <v>44</v>
      </c>
      <c r="E164" s="163">
        <v>0.1</v>
      </c>
      <c r="F164" s="162">
        <f>TRUNC(4.5364,2)</f>
        <v>4.53</v>
      </c>
      <c r="G164" s="260">
        <f t="shared" si="7"/>
        <v>0.45</v>
      </c>
      <c r="H164" s="259"/>
      <c r="I164" s="259"/>
      <c r="J164" s="110"/>
      <c r="K164" s="110"/>
    </row>
    <row r="165" spans="1:11" s="111" customFormat="1" ht="18.75">
      <c r="A165" s="158"/>
      <c r="B165" s="159"/>
      <c r="C165" s="160"/>
      <c r="D165" s="161"/>
      <c r="E165" s="163" t="s">
        <v>5</v>
      </c>
      <c r="F165" s="162"/>
      <c r="G165" s="260">
        <f>TRUNC(SUM(G158:G164),2)</f>
        <v>34.63</v>
      </c>
      <c r="H165" s="259"/>
      <c r="I165" s="259"/>
      <c r="J165" s="110"/>
      <c r="K165" s="110"/>
    </row>
    <row r="166" spans="1:11" s="190" customFormat="1" ht="18.75">
      <c r="A166" s="184" t="s">
        <v>668</v>
      </c>
      <c r="B166" s="185" t="s">
        <v>873</v>
      </c>
      <c r="C166" s="186" t="s">
        <v>624</v>
      </c>
      <c r="D166" s="187" t="s">
        <v>155</v>
      </c>
      <c r="E166" s="148">
        <v>14.8</v>
      </c>
      <c r="F166" s="188">
        <f>TRUNC(G172,2)</f>
        <v>13.21</v>
      </c>
      <c r="G166" s="244">
        <f>TRUNC(F166*1.2882,2)</f>
        <v>17.01</v>
      </c>
      <c r="H166" s="244">
        <f>TRUNC(F166*E166,2)</f>
        <v>195.5</v>
      </c>
      <c r="I166" s="244">
        <f>TRUNC(E166*G166,2)</f>
        <v>251.74</v>
      </c>
      <c r="J166" s="189"/>
      <c r="K166" s="189"/>
    </row>
    <row r="167" spans="1:9" ht="90">
      <c r="A167" s="33"/>
      <c r="B167" s="64" t="s">
        <v>396</v>
      </c>
      <c r="C167" s="78" t="s">
        <v>869</v>
      </c>
      <c r="D167" s="22" t="s">
        <v>52</v>
      </c>
      <c r="E167" s="167">
        <v>1</v>
      </c>
      <c r="F167" s="24">
        <f>TRUNC(G172,2)</f>
        <v>13.21</v>
      </c>
      <c r="G167" s="239">
        <f>TRUNC(E167*F167,2)</f>
        <v>13.21</v>
      </c>
      <c r="H167" s="128"/>
      <c r="I167" s="128"/>
    </row>
    <row r="168" spans="1:11" s="73" customFormat="1" ht="36">
      <c r="A168" s="67"/>
      <c r="B168" s="106" t="s">
        <v>870</v>
      </c>
      <c r="C168" s="107" t="s">
        <v>871</v>
      </c>
      <c r="D168" s="68" t="s">
        <v>52</v>
      </c>
      <c r="E168" s="170">
        <v>0</v>
      </c>
      <c r="F168" s="61">
        <f>TRUNC(196.83,2)</f>
        <v>196.83</v>
      </c>
      <c r="G168" s="145">
        <f>TRUNC(E168*F168,2)</f>
        <v>0</v>
      </c>
      <c r="H168" s="145"/>
      <c r="I168" s="145"/>
      <c r="J168" s="63"/>
      <c r="K168" s="63"/>
    </row>
    <row r="169" spans="1:11" s="144" customFormat="1" ht="18.75">
      <c r="A169" s="67"/>
      <c r="B169" s="106" t="s">
        <v>232</v>
      </c>
      <c r="C169" s="107" t="s">
        <v>623</v>
      </c>
      <c r="D169" s="68" t="s">
        <v>52</v>
      </c>
      <c r="E169" s="170">
        <v>1.05</v>
      </c>
      <c r="F169" s="61">
        <v>7.49</v>
      </c>
      <c r="G169" s="145">
        <f>TRUNC(E169*F169,2)</f>
        <v>7.86</v>
      </c>
      <c r="H169" s="145"/>
      <c r="I169" s="145"/>
      <c r="J169" s="143"/>
      <c r="K169" s="143"/>
    </row>
    <row r="170" spans="1:9" ht="36">
      <c r="A170" s="33"/>
      <c r="B170" s="64" t="s">
        <v>40</v>
      </c>
      <c r="C170" s="78" t="s">
        <v>41</v>
      </c>
      <c r="D170" s="22" t="s">
        <v>7</v>
      </c>
      <c r="E170" s="167">
        <v>0.1648</v>
      </c>
      <c r="F170" s="24">
        <v>13.08</v>
      </c>
      <c r="G170" s="128">
        <f>TRUNC(E170*F170,2)</f>
        <v>2.15</v>
      </c>
      <c r="H170" s="128"/>
      <c r="I170" s="128"/>
    </row>
    <row r="171" spans="1:9" ht="36">
      <c r="A171" s="33"/>
      <c r="B171" s="64" t="s">
        <v>73</v>
      </c>
      <c r="C171" s="78" t="s">
        <v>395</v>
      </c>
      <c r="D171" s="22" t="s">
        <v>7</v>
      </c>
      <c r="E171" s="167">
        <v>0.1648</v>
      </c>
      <c r="F171" s="24">
        <v>19.43</v>
      </c>
      <c r="G171" s="128">
        <f>TRUNC(E171*F171,2)</f>
        <v>3.2</v>
      </c>
      <c r="H171" s="128"/>
      <c r="I171" s="128"/>
    </row>
    <row r="172" spans="1:9" ht="18.75">
      <c r="A172" s="33"/>
      <c r="B172" s="64"/>
      <c r="C172" s="78"/>
      <c r="D172" s="22"/>
      <c r="E172" s="167" t="s">
        <v>5</v>
      </c>
      <c r="F172" s="24"/>
      <c r="G172" s="240">
        <f>TRUNC(SUM(G168:G171),2)</f>
        <v>13.21</v>
      </c>
      <c r="H172" s="128"/>
      <c r="I172" s="128"/>
    </row>
    <row r="173" spans="1:11" s="150" customFormat="1" ht="72">
      <c r="A173" s="153" t="s">
        <v>397</v>
      </c>
      <c r="B173" s="154" t="s">
        <v>168</v>
      </c>
      <c r="C173" s="155" t="s">
        <v>872</v>
      </c>
      <c r="D173" s="156" t="s">
        <v>52</v>
      </c>
      <c r="E173" s="178">
        <v>5.95</v>
      </c>
      <c r="F173" s="157">
        <f>TRUNC(G180,2)</f>
        <v>47.99</v>
      </c>
      <c r="G173" s="244">
        <f>TRUNC(F173*1.2882,2)</f>
        <v>61.82</v>
      </c>
      <c r="H173" s="244">
        <f>TRUNC(F173*E173,2)</f>
        <v>285.54</v>
      </c>
      <c r="I173" s="244">
        <f>TRUNC(E173*G173,2)</f>
        <v>367.82</v>
      </c>
      <c r="J173" s="149"/>
      <c r="K173" s="149"/>
    </row>
    <row r="174" spans="1:11" s="111" customFormat="1" ht="18.75">
      <c r="A174" s="158"/>
      <c r="B174" s="159" t="s">
        <v>166</v>
      </c>
      <c r="C174" s="160" t="s">
        <v>399</v>
      </c>
      <c r="D174" s="161" t="s">
        <v>52</v>
      </c>
      <c r="E174" s="163">
        <v>1.05</v>
      </c>
      <c r="F174" s="162">
        <f>TRUNC(30.63,2)</f>
        <v>30.63</v>
      </c>
      <c r="G174" s="260">
        <f aca="true" t="shared" si="8" ref="G174:G179">TRUNC(E174*F174,2)</f>
        <v>32.16</v>
      </c>
      <c r="H174" s="259"/>
      <c r="I174" s="259"/>
      <c r="J174" s="110"/>
      <c r="K174" s="110"/>
    </row>
    <row r="175" spans="1:11" s="111" customFormat="1" ht="18.75">
      <c r="A175" s="158"/>
      <c r="B175" s="159" t="s">
        <v>169</v>
      </c>
      <c r="C175" s="160" t="s">
        <v>400</v>
      </c>
      <c r="D175" s="161" t="s">
        <v>0</v>
      </c>
      <c r="E175" s="163">
        <v>0.011</v>
      </c>
      <c r="F175" s="162">
        <f>TRUNC(9,2)</f>
        <v>9</v>
      </c>
      <c r="G175" s="260">
        <f t="shared" si="8"/>
        <v>0.09</v>
      </c>
      <c r="H175" s="259"/>
      <c r="I175" s="259"/>
      <c r="J175" s="110"/>
      <c r="K175" s="110"/>
    </row>
    <row r="176" spans="1:11" s="111" customFormat="1" ht="18.75">
      <c r="A176" s="158"/>
      <c r="B176" s="159" t="s">
        <v>110</v>
      </c>
      <c r="C176" s="160" t="s">
        <v>322</v>
      </c>
      <c r="D176" s="161" t="s">
        <v>46</v>
      </c>
      <c r="E176" s="163">
        <v>0.58</v>
      </c>
      <c r="F176" s="162">
        <f>TRUNC(1.44,2)</f>
        <v>1.44</v>
      </c>
      <c r="G176" s="260">
        <f t="shared" si="8"/>
        <v>0.83</v>
      </c>
      <c r="H176" s="259"/>
      <c r="I176" s="259"/>
      <c r="J176" s="110"/>
      <c r="K176" s="110"/>
    </row>
    <row r="177" spans="1:11" s="111" customFormat="1" ht="36">
      <c r="A177" s="158"/>
      <c r="B177" s="159" t="s">
        <v>40</v>
      </c>
      <c r="C177" s="160" t="s">
        <v>41</v>
      </c>
      <c r="D177" s="161" t="s">
        <v>7</v>
      </c>
      <c r="E177" s="163">
        <v>0.4635</v>
      </c>
      <c r="F177" s="162">
        <f>TRUNC(13.08,2)</f>
        <v>13.08</v>
      </c>
      <c r="G177" s="260">
        <f t="shared" si="8"/>
        <v>6.06</v>
      </c>
      <c r="H177" s="259"/>
      <c r="I177" s="259"/>
      <c r="J177" s="110"/>
      <c r="K177" s="110"/>
    </row>
    <row r="178" spans="1:11" s="111" customFormat="1" ht="36">
      <c r="A178" s="158"/>
      <c r="B178" s="159" t="s">
        <v>167</v>
      </c>
      <c r="C178" s="160" t="s">
        <v>401</v>
      </c>
      <c r="D178" s="161" t="s">
        <v>7</v>
      </c>
      <c r="E178" s="163">
        <v>0.41200000000000003</v>
      </c>
      <c r="F178" s="162">
        <f>TRUNC(18.05,2)</f>
        <v>18.05</v>
      </c>
      <c r="G178" s="260">
        <f t="shared" si="8"/>
        <v>7.43</v>
      </c>
      <c r="H178" s="259"/>
      <c r="I178" s="259"/>
      <c r="J178" s="110"/>
      <c r="K178" s="110"/>
    </row>
    <row r="179" spans="1:11" s="111" customFormat="1" ht="18.75">
      <c r="A179" s="158"/>
      <c r="B179" s="159" t="s">
        <v>170</v>
      </c>
      <c r="C179" s="160" t="s">
        <v>402</v>
      </c>
      <c r="D179" s="161" t="s">
        <v>39</v>
      </c>
      <c r="E179" s="163">
        <v>0.0058</v>
      </c>
      <c r="F179" s="162">
        <f>TRUNC(244.852,2)</f>
        <v>244.85</v>
      </c>
      <c r="G179" s="260">
        <f t="shared" si="8"/>
        <v>1.42</v>
      </c>
      <c r="H179" s="259"/>
      <c r="I179" s="259"/>
      <c r="J179" s="110"/>
      <c r="K179" s="110"/>
    </row>
    <row r="180" spans="1:11" s="111" customFormat="1" ht="18.75">
      <c r="A180" s="158"/>
      <c r="B180" s="159"/>
      <c r="C180" s="160"/>
      <c r="D180" s="161"/>
      <c r="E180" s="163" t="s">
        <v>5</v>
      </c>
      <c r="F180" s="162"/>
      <c r="G180" s="260">
        <f>TRUNC(SUM(G174:G179),2)</f>
        <v>47.99</v>
      </c>
      <c r="H180" s="259"/>
      <c r="I180" s="259"/>
      <c r="J180" s="110"/>
      <c r="K180" s="110"/>
    </row>
    <row r="181" spans="1:11" s="150" customFormat="1" ht="36">
      <c r="A181" s="153" t="s">
        <v>398</v>
      </c>
      <c r="B181" s="154" t="s">
        <v>404</v>
      </c>
      <c r="C181" s="155" t="s">
        <v>874</v>
      </c>
      <c r="D181" s="156" t="s">
        <v>52</v>
      </c>
      <c r="E181" s="178">
        <v>2.5</v>
      </c>
      <c r="F181" s="157">
        <f>TRUNC(G185,2)</f>
        <v>55.21</v>
      </c>
      <c r="G181" s="244">
        <f>TRUNC(F181*1.2882,2)</f>
        <v>71.12</v>
      </c>
      <c r="H181" s="244">
        <f>TRUNC(F181*E181,2)</f>
        <v>138.02</v>
      </c>
      <c r="I181" s="244">
        <f>TRUNC(E181*G181,2)</f>
        <v>177.8</v>
      </c>
      <c r="J181" s="149"/>
      <c r="K181" s="149"/>
    </row>
    <row r="182" spans="1:11" s="111" customFormat="1" ht="18.75">
      <c r="A182" s="158"/>
      <c r="B182" s="159" t="s">
        <v>405</v>
      </c>
      <c r="C182" s="160" t="s">
        <v>406</v>
      </c>
      <c r="D182" s="161" t="s">
        <v>52</v>
      </c>
      <c r="E182" s="163">
        <v>1.05</v>
      </c>
      <c r="F182" s="162">
        <f>TRUNC(39.74,2)</f>
        <v>39.74</v>
      </c>
      <c r="G182" s="260">
        <f>TRUNC(E182*F182,2)</f>
        <v>41.72</v>
      </c>
      <c r="H182" s="259"/>
      <c r="I182" s="259"/>
      <c r="J182" s="110"/>
      <c r="K182" s="110"/>
    </row>
    <row r="183" spans="1:11" s="111" customFormat="1" ht="36">
      <c r="A183" s="158"/>
      <c r="B183" s="159" t="s">
        <v>40</v>
      </c>
      <c r="C183" s="160" t="s">
        <v>41</v>
      </c>
      <c r="D183" s="161" t="s">
        <v>7</v>
      </c>
      <c r="E183" s="163">
        <v>0.4635</v>
      </c>
      <c r="F183" s="162">
        <f>TRUNC(13.08,2)</f>
        <v>13.08</v>
      </c>
      <c r="G183" s="260">
        <f>TRUNC(E183*F183,2)</f>
        <v>6.06</v>
      </c>
      <c r="H183" s="259"/>
      <c r="I183" s="259"/>
      <c r="J183" s="110"/>
      <c r="K183" s="110"/>
    </row>
    <row r="184" spans="1:11" s="111" customFormat="1" ht="36">
      <c r="A184" s="158"/>
      <c r="B184" s="159" t="s">
        <v>167</v>
      </c>
      <c r="C184" s="160" t="s">
        <v>401</v>
      </c>
      <c r="D184" s="161" t="s">
        <v>7</v>
      </c>
      <c r="E184" s="163">
        <v>0.41200000000000003</v>
      </c>
      <c r="F184" s="162">
        <f>TRUNC(18.05,2)</f>
        <v>18.05</v>
      </c>
      <c r="G184" s="260">
        <f>TRUNC(E184*F184,2)</f>
        <v>7.43</v>
      </c>
      <c r="H184" s="259"/>
      <c r="I184" s="259"/>
      <c r="J184" s="110"/>
      <c r="K184" s="110"/>
    </row>
    <row r="185" spans="1:11" s="111" customFormat="1" ht="18.75">
      <c r="A185" s="158"/>
      <c r="B185" s="159"/>
      <c r="C185" s="160"/>
      <c r="D185" s="161"/>
      <c r="E185" s="163" t="s">
        <v>5</v>
      </c>
      <c r="F185" s="162"/>
      <c r="G185" s="260">
        <f>TRUNC(SUM(G182:G184),2)</f>
        <v>55.21</v>
      </c>
      <c r="H185" s="259"/>
      <c r="I185" s="259"/>
      <c r="J185" s="110"/>
      <c r="K185" s="110"/>
    </row>
    <row r="186" spans="1:11" s="150" customFormat="1" ht="54">
      <c r="A186" s="153" t="s">
        <v>403</v>
      </c>
      <c r="B186" s="154" t="s">
        <v>171</v>
      </c>
      <c r="C186" s="155" t="s">
        <v>875</v>
      </c>
      <c r="D186" s="156" t="s">
        <v>52</v>
      </c>
      <c r="E186" s="178">
        <v>1.86</v>
      </c>
      <c r="F186" s="157">
        <f>TRUNC(G193,2)</f>
        <v>38.95</v>
      </c>
      <c r="G186" s="244">
        <f>TRUNC(F186*1.2882,2)</f>
        <v>50.17</v>
      </c>
      <c r="H186" s="244">
        <f>TRUNC(F186*E186,2)</f>
        <v>72.44</v>
      </c>
      <c r="I186" s="244">
        <f>TRUNC(E186*G186,2)</f>
        <v>93.31</v>
      </c>
      <c r="J186" s="149"/>
      <c r="K186" s="149"/>
    </row>
    <row r="187" spans="1:11" s="111" customFormat="1" ht="18.75">
      <c r="A187" s="158"/>
      <c r="B187" s="159" t="s">
        <v>172</v>
      </c>
      <c r="C187" s="160" t="s">
        <v>876</v>
      </c>
      <c r="D187" s="161" t="s">
        <v>52</v>
      </c>
      <c r="E187" s="163">
        <v>1.05</v>
      </c>
      <c r="F187" s="162">
        <f>TRUNC(19.5,2)</f>
        <v>19.5</v>
      </c>
      <c r="G187" s="260">
        <f aca="true" t="shared" si="9" ref="G187:G192">TRUNC(E187*F187,2)</f>
        <v>20.47</v>
      </c>
      <c r="H187" s="259"/>
      <c r="I187" s="259"/>
      <c r="J187" s="110"/>
      <c r="K187" s="110"/>
    </row>
    <row r="188" spans="1:11" s="111" customFormat="1" ht="18.75">
      <c r="A188" s="158"/>
      <c r="B188" s="159" t="s">
        <v>110</v>
      </c>
      <c r="C188" s="160" t="s">
        <v>322</v>
      </c>
      <c r="D188" s="161" t="s">
        <v>46</v>
      </c>
      <c r="E188" s="163">
        <v>0.4</v>
      </c>
      <c r="F188" s="162">
        <f>TRUNC(1.44,2)</f>
        <v>1.44</v>
      </c>
      <c r="G188" s="260">
        <f t="shared" si="9"/>
        <v>0.57</v>
      </c>
      <c r="H188" s="259"/>
      <c r="I188" s="259"/>
      <c r="J188" s="110"/>
      <c r="K188" s="110"/>
    </row>
    <row r="189" spans="1:11" s="111" customFormat="1" ht="36">
      <c r="A189" s="158"/>
      <c r="B189" s="159" t="s">
        <v>40</v>
      </c>
      <c r="C189" s="160" t="s">
        <v>41</v>
      </c>
      <c r="D189" s="161" t="s">
        <v>7</v>
      </c>
      <c r="E189" s="163">
        <v>0.5665000000000001</v>
      </c>
      <c r="F189" s="162">
        <f>TRUNC(13.08,2)</f>
        <v>13.08</v>
      </c>
      <c r="G189" s="260">
        <f t="shared" si="9"/>
        <v>7.4</v>
      </c>
      <c r="H189" s="259"/>
      <c r="I189" s="259"/>
      <c r="J189" s="110"/>
      <c r="K189" s="110"/>
    </row>
    <row r="190" spans="1:11" s="111" customFormat="1" ht="36">
      <c r="A190" s="158"/>
      <c r="B190" s="159" t="s">
        <v>167</v>
      </c>
      <c r="C190" s="160" t="s">
        <v>401</v>
      </c>
      <c r="D190" s="161" t="s">
        <v>7</v>
      </c>
      <c r="E190" s="163">
        <v>0.4635</v>
      </c>
      <c r="F190" s="162">
        <f>TRUNC(18.05,2)</f>
        <v>18.05</v>
      </c>
      <c r="G190" s="260">
        <f t="shared" si="9"/>
        <v>8.36</v>
      </c>
      <c r="H190" s="259"/>
      <c r="I190" s="259"/>
      <c r="J190" s="110"/>
      <c r="K190" s="110"/>
    </row>
    <row r="191" spans="1:11" s="111" customFormat="1" ht="18.75">
      <c r="A191" s="158"/>
      <c r="B191" s="159" t="s">
        <v>112</v>
      </c>
      <c r="C191" s="160" t="s">
        <v>412</v>
      </c>
      <c r="D191" s="161" t="s">
        <v>39</v>
      </c>
      <c r="E191" s="163">
        <v>0.006</v>
      </c>
      <c r="F191" s="162">
        <f>TRUNC(314.2639,2)</f>
        <v>314.26</v>
      </c>
      <c r="G191" s="260">
        <f t="shared" si="9"/>
        <v>1.88</v>
      </c>
      <c r="H191" s="259"/>
      <c r="I191" s="259"/>
      <c r="J191" s="110"/>
      <c r="K191" s="110"/>
    </row>
    <row r="192" spans="1:11" s="111" customFormat="1" ht="18.75">
      <c r="A192" s="158"/>
      <c r="B192" s="159" t="s">
        <v>113</v>
      </c>
      <c r="C192" s="160" t="s">
        <v>413</v>
      </c>
      <c r="D192" s="161" t="s">
        <v>39</v>
      </c>
      <c r="E192" s="163">
        <v>0.0005</v>
      </c>
      <c r="F192" s="162">
        <f>TRUNC(542.5016,2)</f>
        <v>542.5</v>
      </c>
      <c r="G192" s="260">
        <f t="shared" si="9"/>
        <v>0.27</v>
      </c>
      <c r="H192" s="259"/>
      <c r="I192" s="259"/>
      <c r="J192" s="110"/>
      <c r="K192" s="110"/>
    </row>
    <row r="193" spans="1:11" s="111" customFormat="1" ht="18.75">
      <c r="A193" s="158"/>
      <c r="B193" s="159"/>
      <c r="C193" s="160"/>
      <c r="D193" s="161"/>
      <c r="E193" s="163" t="s">
        <v>5</v>
      </c>
      <c r="F193" s="162"/>
      <c r="G193" s="260">
        <f>TRUNC(SUM(G187:G192),2)</f>
        <v>38.95</v>
      </c>
      <c r="H193" s="259"/>
      <c r="I193" s="259"/>
      <c r="J193" s="110"/>
      <c r="K193" s="110"/>
    </row>
    <row r="194" spans="1:11" s="150" customFormat="1" ht="54">
      <c r="A194" s="153" t="s">
        <v>407</v>
      </c>
      <c r="B194" s="154" t="s">
        <v>409</v>
      </c>
      <c r="C194" s="155" t="s">
        <v>877</v>
      </c>
      <c r="D194" s="156" t="s">
        <v>52</v>
      </c>
      <c r="E194" s="178">
        <v>9.5</v>
      </c>
      <c r="F194" s="157">
        <f>TRUNC(G201,2)</f>
        <v>63.31</v>
      </c>
      <c r="G194" s="244">
        <f>TRUNC(F194*1.2882,2)</f>
        <v>81.55</v>
      </c>
      <c r="H194" s="244">
        <f>TRUNC(F194*E194,2)</f>
        <v>601.44</v>
      </c>
      <c r="I194" s="244">
        <f>TRUNC(E194*G194,2)</f>
        <v>774.72</v>
      </c>
      <c r="J194" s="149"/>
      <c r="K194" s="149"/>
    </row>
    <row r="195" spans="1:11" s="111" customFormat="1" ht="18.75">
      <c r="A195" s="158"/>
      <c r="B195" s="159" t="s">
        <v>410</v>
      </c>
      <c r="C195" s="160" t="s">
        <v>411</v>
      </c>
      <c r="D195" s="161" t="s">
        <v>52</v>
      </c>
      <c r="E195" s="163">
        <v>1.05</v>
      </c>
      <c r="F195" s="162">
        <f>TRUNC(42.68,2)</f>
        <v>42.68</v>
      </c>
      <c r="G195" s="260">
        <f aca="true" t="shared" si="10" ref="G195:G200">TRUNC(E195*F195,2)</f>
        <v>44.81</v>
      </c>
      <c r="H195" s="259"/>
      <c r="I195" s="259"/>
      <c r="J195" s="110"/>
      <c r="K195" s="110"/>
    </row>
    <row r="196" spans="1:11" s="111" customFormat="1" ht="18.75">
      <c r="A196" s="158"/>
      <c r="B196" s="159" t="s">
        <v>110</v>
      </c>
      <c r="C196" s="160" t="s">
        <v>322</v>
      </c>
      <c r="D196" s="161" t="s">
        <v>46</v>
      </c>
      <c r="E196" s="163">
        <v>1</v>
      </c>
      <c r="F196" s="162">
        <f>TRUNC(1.44,2)</f>
        <v>1.44</v>
      </c>
      <c r="G196" s="260">
        <f t="shared" si="10"/>
        <v>1.44</v>
      </c>
      <c r="H196" s="259"/>
      <c r="I196" s="259"/>
      <c r="J196" s="110"/>
      <c r="K196" s="110"/>
    </row>
    <row r="197" spans="1:11" s="111" customFormat="1" ht="36">
      <c r="A197" s="158"/>
      <c r="B197" s="159" t="s">
        <v>40</v>
      </c>
      <c r="C197" s="160" t="s">
        <v>41</v>
      </c>
      <c r="D197" s="161" t="s">
        <v>7</v>
      </c>
      <c r="E197" s="163">
        <v>0.4635</v>
      </c>
      <c r="F197" s="162">
        <f>TRUNC(13.08,2)</f>
        <v>13.08</v>
      </c>
      <c r="G197" s="260">
        <f t="shared" si="10"/>
        <v>6.06</v>
      </c>
      <c r="H197" s="259"/>
      <c r="I197" s="259"/>
      <c r="J197" s="110"/>
      <c r="K197" s="110"/>
    </row>
    <row r="198" spans="1:11" s="111" customFormat="1" ht="36">
      <c r="A198" s="158"/>
      <c r="B198" s="159" t="s">
        <v>167</v>
      </c>
      <c r="C198" s="160" t="s">
        <v>401</v>
      </c>
      <c r="D198" s="161" t="s">
        <v>7</v>
      </c>
      <c r="E198" s="163">
        <v>0.41200000000000003</v>
      </c>
      <c r="F198" s="162">
        <f>TRUNC(18.05,2)</f>
        <v>18.05</v>
      </c>
      <c r="G198" s="260">
        <f t="shared" si="10"/>
        <v>7.43</v>
      </c>
      <c r="H198" s="259"/>
      <c r="I198" s="259"/>
      <c r="J198" s="110"/>
      <c r="K198" s="110"/>
    </row>
    <row r="199" spans="1:11" s="111" customFormat="1" ht="18.75">
      <c r="A199" s="158"/>
      <c r="B199" s="159" t="s">
        <v>112</v>
      </c>
      <c r="C199" s="160" t="s">
        <v>412</v>
      </c>
      <c r="D199" s="161" t="s">
        <v>39</v>
      </c>
      <c r="E199" s="163">
        <v>0.01</v>
      </c>
      <c r="F199" s="162">
        <f>TRUNC(314.2639,2)</f>
        <v>314.26</v>
      </c>
      <c r="G199" s="260">
        <f t="shared" si="10"/>
        <v>3.14</v>
      </c>
      <c r="H199" s="259"/>
      <c r="I199" s="259"/>
      <c r="J199" s="110"/>
      <c r="K199" s="110"/>
    </row>
    <row r="200" spans="1:11" s="111" customFormat="1" ht="18.75">
      <c r="A200" s="158"/>
      <c r="B200" s="159" t="s">
        <v>113</v>
      </c>
      <c r="C200" s="160" t="s">
        <v>413</v>
      </c>
      <c r="D200" s="161" t="s">
        <v>39</v>
      </c>
      <c r="E200" s="163">
        <v>0.0008</v>
      </c>
      <c r="F200" s="162">
        <f>TRUNC(542.5016,2)</f>
        <v>542.5</v>
      </c>
      <c r="G200" s="260">
        <f t="shared" si="10"/>
        <v>0.43</v>
      </c>
      <c r="H200" s="259"/>
      <c r="I200" s="259"/>
      <c r="J200" s="110"/>
      <c r="K200" s="110"/>
    </row>
    <row r="201" spans="1:11" s="111" customFormat="1" ht="18.75">
      <c r="A201" s="158"/>
      <c r="B201" s="159"/>
      <c r="C201" s="160"/>
      <c r="D201" s="161"/>
      <c r="E201" s="163" t="s">
        <v>5</v>
      </c>
      <c r="F201" s="162"/>
      <c r="G201" s="260">
        <f>TRUNC(SUM(G195:G200),2)</f>
        <v>63.31</v>
      </c>
      <c r="H201" s="259"/>
      <c r="I201" s="259"/>
      <c r="J201" s="110"/>
      <c r="K201" s="110"/>
    </row>
    <row r="202" spans="1:11" s="150" customFormat="1" ht="36">
      <c r="A202" s="153" t="s">
        <v>408</v>
      </c>
      <c r="B202" s="154" t="s">
        <v>669</v>
      </c>
      <c r="C202" s="155" t="s">
        <v>878</v>
      </c>
      <c r="D202" s="156" t="s">
        <v>44</v>
      </c>
      <c r="E202" s="178">
        <v>0.244</v>
      </c>
      <c r="F202" s="157">
        <f>TRUNC(G207,2)</f>
        <v>95.67</v>
      </c>
      <c r="G202" s="244">
        <f>TRUNC(F202*1.2882,2)</f>
        <v>123.24</v>
      </c>
      <c r="H202" s="244">
        <f>TRUNC(F202*E202,2)</f>
        <v>23.34</v>
      </c>
      <c r="I202" s="244">
        <f>TRUNC(E202*G202,2)</f>
        <v>30.07</v>
      </c>
      <c r="J202" s="149"/>
      <c r="K202" s="149"/>
    </row>
    <row r="203" spans="1:11" s="111" customFormat="1" ht="18.75">
      <c r="A203" s="158"/>
      <c r="B203" s="159" t="s">
        <v>670</v>
      </c>
      <c r="C203" s="160" t="s">
        <v>671</v>
      </c>
      <c r="D203" s="161" t="s">
        <v>44</v>
      </c>
      <c r="E203" s="163">
        <v>1.1</v>
      </c>
      <c r="F203" s="162">
        <f>TRUNC(54.55,2)</f>
        <v>54.55</v>
      </c>
      <c r="G203" s="260">
        <f>TRUNC(E203*F203,2)</f>
        <v>60</v>
      </c>
      <c r="H203" s="259"/>
      <c r="I203" s="259"/>
      <c r="J203" s="110"/>
      <c r="K203" s="110"/>
    </row>
    <row r="204" spans="1:11" s="111" customFormat="1" ht="36">
      <c r="A204" s="158"/>
      <c r="B204" s="159" t="s">
        <v>40</v>
      </c>
      <c r="C204" s="160" t="s">
        <v>41</v>
      </c>
      <c r="D204" s="161" t="s">
        <v>7</v>
      </c>
      <c r="E204" s="163">
        <v>1.03</v>
      </c>
      <c r="F204" s="162">
        <f>TRUNC(13.08,2)</f>
        <v>13.08</v>
      </c>
      <c r="G204" s="260">
        <f>TRUNC(E204*F204,2)</f>
        <v>13.47</v>
      </c>
      <c r="H204" s="259"/>
      <c r="I204" s="259"/>
      <c r="J204" s="110"/>
      <c r="K204" s="110"/>
    </row>
    <row r="205" spans="1:11" s="111" customFormat="1" ht="18.75">
      <c r="A205" s="158"/>
      <c r="B205" s="159" t="s">
        <v>43</v>
      </c>
      <c r="C205" s="160" t="s">
        <v>100</v>
      </c>
      <c r="D205" s="161" t="s">
        <v>7</v>
      </c>
      <c r="E205" s="163">
        <v>1.03</v>
      </c>
      <c r="F205" s="162">
        <f>TRUNC(18.05,2)</f>
        <v>18.05</v>
      </c>
      <c r="G205" s="260">
        <f>TRUNC(E205*F205,2)</f>
        <v>18.59</v>
      </c>
      <c r="H205" s="259"/>
      <c r="I205" s="259"/>
      <c r="J205" s="110"/>
      <c r="K205" s="110"/>
    </row>
    <row r="206" spans="1:11" s="111" customFormat="1" ht="18.75">
      <c r="A206" s="158"/>
      <c r="B206" s="159" t="s">
        <v>672</v>
      </c>
      <c r="C206" s="160" t="s">
        <v>673</v>
      </c>
      <c r="D206" s="161" t="s">
        <v>39</v>
      </c>
      <c r="E206" s="163">
        <v>0.01</v>
      </c>
      <c r="F206" s="162">
        <f>TRUNC(361.6022,2)</f>
        <v>361.6</v>
      </c>
      <c r="G206" s="260">
        <f>TRUNC(E206*F206,2)</f>
        <v>3.61</v>
      </c>
      <c r="H206" s="259"/>
      <c r="I206" s="259"/>
      <c r="J206" s="110"/>
      <c r="K206" s="110"/>
    </row>
    <row r="207" spans="1:11" s="111" customFormat="1" ht="18.75">
      <c r="A207" s="158"/>
      <c r="B207" s="159"/>
      <c r="C207" s="160"/>
      <c r="D207" s="161"/>
      <c r="E207" s="163" t="s">
        <v>5</v>
      </c>
      <c r="F207" s="162"/>
      <c r="G207" s="260">
        <f>TRUNC(SUM(G203:G206),2)</f>
        <v>95.67</v>
      </c>
      <c r="H207" s="259"/>
      <c r="I207" s="259"/>
      <c r="J207" s="110"/>
      <c r="K207" s="110"/>
    </row>
    <row r="208" spans="1:9" ht="18.75">
      <c r="A208" s="29" t="s">
        <v>130</v>
      </c>
      <c r="B208" s="293"/>
      <c r="C208" s="294"/>
      <c r="D208" s="295"/>
      <c r="E208" s="298" t="s">
        <v>116</v>
      </c>
      <c r="F208" s="299"/>
      <c r="G208" s="300"/>
      <c r="H208" s="38">
        <f>H108+H116+H122+H130+H139+H149+H157+H166+H173+H181+H186+H194+H202</f>
        <v>25335.38</v>
      </c>
      <c r="I208" s="38">
        <f>I108+I116+I122+I130+I139+I149+I157+I166+I173+I181+I186+I194+I202</f>
        <v>32634.140000000003</v>
      </c>
    </row>
    <row r="209" spans="1:11" s="152" customFormat="1" ht="18.75">
      <c r="A209" s="273" t="s">
        <v>55</v>
      </c>
      <c r="B209" s="282"/>
      <c r="C209" s="283" t="s">
        <v>309</v>
      </c>
      <c r="D209" s="276"/>
      <c r="E209" s="277"/>
      <c r="F209" s="279"/>
      <c r="G209" s="278"/>
      <c r="H209" s="278"/>
      <c r="I209" s="272"/>
      <c r="J209" s="281"/>
      <c r="K209" s="151"/>
    </row>
    <row r="210" spans="1:11" s="150" customFormat="1" ht="36">
      <c r="A210" s="153" t="s">
        <v>57</v>
      </c>
      <c r="B210" s="154" t="s">
        <v>629</v>
      </c>
      <c r="C210" s="155" t="s">
        <v>675</v>
      </c>
      <c r="D210" s="156" t="s">
        <v>231</v>
      </c>
      <c r="E210" s="178">
        <v>1</v>
      </c>
      <c r="F210" s="157">
        <f>TRUNC((G211+G214+G226),2)</f>
        <v>2148.88</v>
      </c>
      <c r="G210" s="244">
        <f>TRUNC(F210*1.2882,2)</f>
        <v>2768.18</v>
      </c>
      <c r="H210" s="244">
        <f>TRUNC(F210*E210,2)</f>
        <v>2148.88</v>
      </c>
      <c r="I210" s="244">
        <f>TRUNC(E210*G210,2)</f>
        <v>2768.18</v>
      </c>
      <c r="J210" s="149"/>
      <c r="K210" s="149"/>
    </row>
    <row r="211" spans="1:10" ht="36">
      <c r="A211" s="29" t="s">
        <v>132</v>
      </c>
      <c r="B211" s="113" t="s">
        <v>215</v>
      </c>
      <c r="C211" s="94" t="s">
        <v>879</v>
      </c>
      <c r="D211" s="30" t="s">
        <v>44</v>
      </c>
      <c r="E211" s="171">
        <v>4</v>
      </c>
      <c r="F211" s="115">
        <f>TRUNC(G213,2)</f>
        <v>336.05</v>
      </c>
      <c r="G211" s="76">
        <f>TRUNC(E211*F211,2)</f>
        <v>1344.2</v>
      </c>
      <c r="H211" s="145"/>
      <c r="I211" s="145"/>
      <c r="J211" s="55"/>
    </row>
    <row r="212" spans="1:10" ht="18.75">
      <c r="A212" s="33"/>
      <c r="B212" s="64" t="s">
        <v>216</v>
      </c>
      <c r="C212" s="101" t="s">
        <v>880</v>
      </c>
      <c r="D212" s="22" t="s">
        <v>44</v>
      </c>
      <c r="E212" s="167">
        <v>1</v>
      </c>
      <c r="F212" s="24">
        <f>TRUNC(336.056,2)</f>
        <v>336.05</v>
      </c>
      <c r="G212" s="241">
        <f>TRUNC(E212*F212,2)</f>
        <v>336.05</v>
      </c>
      <c r="H212" s="145"/>
      <c r="I212" s="145"/>
      <c r="J212" s="55"/>
    </row>
    <row r="213" spans="1:10" ht="18.75">
      <c r="A213" s="33"/>
      <c r="B213" s="64"/>
      <c r="C213" s="101"/>
      <c r="D213" s="22"/>
      <c r="E213" s="167" t="s">
        <v>5</v>
      </c>
      <c r="F213" s="24"/>
      <c r="G213" s="241">
        <f>TRUNC(SUM(G212:G212),2)</f>
        <v>336.05</v>
      </c>
      <c r="H213" s="145"/>
      <c r="I213" s="145"/>
      <c r="J213" s="55"/>
    </row>
    <row r="214" spans="1:10" ht="54">
      <c r="A214" s="29" t="s">
        <v>133</v>
      </c>
      <c r="B214" s="113" t="s">
        <v>891</v>
      </c>
      <c r="C214" s="94" t="s">
        <v>881</v>
      </c>
      <c r="D214" s="30" t="s">
        <v>0</v>
      </c>
      <c r="E214" s="171">
        <v>1</v>
      </c>
      <c r="F214" s="115">
        <f>TRUNC(G225,2)</f>
        <v>502.96</v>
      </c>
      <c r="G214" s="76">
        <f aca="true" t="shared" si="11" ref="G214:G224">TRUNC(E214*F214,2)</f>
        <v>502.96</v>
      </c>
      <c r="H214" s="145"/>
      <c r="I214" s="145"/>
      <c r="J214" s="55"/>
    </row>
    <row r="215" spans="1:10" ht="18.75">
      <c r="A215" s="33"/>
      <c r="B215" s="64" t="s">
        <v>234</v>
      </c>
      <c r="C215" s="101" t="s">
        <v>882</v>
      </c>
      <c r="D215" s="22" t="s">
        <v>0</v>
      </c>
      <c r="E215" s="167">
        <v>1</v>
      </c>
      <c r="F215" s="24">
        <f>TRUNC(4.38,2)</f>
        <v>4.38</v>
      </c>
      <c r="G215" s="241">
        <f t="shared" si="11"/>
        <v>4.38</v>
      </c>
      <c r="H215" s="145"/>
      <c r="I215" s="145"/>
      <c r="J215" s="55"/>
    </row>
    <row r="216" spans="1:10" ht="18.75">
      <c r="A216" s="33"/>
      <c r="B216" s="64" t="s">
        <v>210</v>
      </c>
      <c r="C216" s="101" t="s">
        <v>883</v>
      </c>
      <c r="D216" s="22" t="s">
        <v>0</v>
      </c>
      <c r="E216" s="167">
        <v>2</v>
      </c>
      <c r="F216" s="24">
        <f>TRUNC(9.62,2)</f>
        <v>9.62</v>
      </c>
      <c r="G216" s="241">
        <f t="shared" si="11"/>
        <v>19.24</v>
      </c>
      <c r="H216" s="145"/>
      <c r="I216" s="145"/>
      <c r="J216" s="55"/>
    </row>
    <row r="217" spans="1:10" ht="18.75">
      <c r="A217" s="33"/>
      <c r="B217" s="64" t="s">
        <v>235</v>
      </c>
      <c r="C217" s="101" t="s">
        <v>884</v>
      </c>
      <c r="D217" s="22" t="s">
        <v>0</v>
      </c>
      <c r="E217" s="167">
        <v>1</v>
      </c>
      <c r="F217" s="24">
        <f>TRUNC(9.18,2)</f>
        <v>9.18</v>
      </c>
      <c r="G217" s="241">
        <f t="shared" si="11"/>
        <v>9.18</v>
      </c>
      <c r="H217" s="145"/>
      <c r="I217" s="145"/>
      <c r="J217" s="55"/>
    </row>
    <row r="218" spans="1:10" ht="18.75">
      <c r="A218" s="33"/>
      <c r="B218" s="64" t="s">
        <v>211</v>
      </c>
      <c r="C218" s="101" t="s">
        <v>885</v>
      </c>
      <c r="D218" s="22" t="s">
        <v>0</v>
      </c>
      <c r="E218" s="167">
        <v>2</v>
      </c>
      <c r="F218" s="24">
        <f>TRUNC(5.32,2)</f>
        <v>5.32</v>
      </c>
      <c r="G218" s="241">
        <f t="shared" si="11"/>
        <v>10.64</v>
      </c>
      <c r="H218" s="145"/>
      <c r="I218" s="145"/>
      <c r="J218" s="55"/>
    </row>
    <row r="219" spans="1:11" s="73" customFormat="1" ht="18.75">
      <c r="A219" s="67"/>
      <c r="B219" s="192" t="s">
        <v>627</v>
      </c>
      <c r="C219" s="109" t="s">
        <v>628</v>
      </c>
      <c r="D219" s="68" t="s">
        <v>0</v>
      </c>
      <c r="E219" s="170">
        <v>2</v>
      </c>
      <c r="F219" s="61">
        <v>83.35</v>
      </c>
      <c r="G219" s="241">
        <f t="shared" si="11"/>
        <v>166.7</v>
      </c>
      <c r="H219" s="145"/>
      <c r="I219" s="145"/>
      <c r="J219" s="69"/>
      <c r="K219" s="63"/>
    </row>
    <row r="220" spans="1:10" ht="18.75">
      <c r="A220" s="33"/>
      <c r="B220" s="64" t="s">
        <v>236</v>
      </c>
      <c r="C220" s="101" t="s">
        <v>886</v>
      </c>
      <c r="D220" s="22" t="s">
        <v>0</v>
      </c>
      <c r="E220" s="167">
        <v>1</v>
      </c>
      <c r="F220" s="24">
        <f>TRUNC(36.38,2)</f>
        <v>36.38</v>
      </c>
      <c r="G220" s="241">
        <f t="shared" si="11"/>
        <v>36.38</v>
      </c>
      <c r="H220" s="145"/>
      <c r="I220" s="145"/>
      <c r="J220" s="55"/>
    </row>
    <row r="221" spans="1:10" ht="18.75">
      <c r="A221" s="33"/>
      <c r="B221" s="64" t="s">
        <v>237</v>
      </c>
      <c r="C221" s="101" t="s">
        <v>887</v>
      </c>
      <c r="D221" s="22" t="s">
        <v>0</v>
      </c>
      <c r="E221" s="167">
        <v>1</v>
      </c>
      <c r="F221" s="24">
        <f>TRUNC(44.66,2)</f>
        <v>44.66</v>
      </c>
      <c r="G221" s="241">
        <f t="shared" si="11"/>
        <v>44.66</v>
      </c>
      <c r="H221" s="145"/>
      <c r="I221" s="145"/>
      <c r="J221" s="55"/>
    </row>
    <row r="222" spans="1:10" ht="18.75">
      <c r="A222" s="33"/>
      <c r="B222" s="64" t="s">
        <v>212</v>
      </c>
      <c r="C222" s="101" t="s">
        <v>888</v>
      </c>
      <c r="D222" s="22" t="s">
        <v>0</v>
      </c>
      <c r="E222" s="167">
        <v>1</v>
      </c>
      <c r="F222" s="24">
        <f>TRUNC(70.78,2)</f>
        <v>70.78</v>
      </c>
      <c r="G222" s="241">
        <f t="shared" si="11"/>
        <v>70.78</v>
      </c>
      <c r="H222" s="145"/>
      <c r="I222" s="145"/>
      <c r="J222" s="55"/>
    </row>
    <row r="223" spans="1:10" ht="18.75">
      <c r="A223" s="33"/>
      <c r="B223" s="64" t="s">
        <v>213</v>
      </c>
      <c r="C223" s="101" t="s">
        <v>889</v>
      </c>
      <c r="D223" s="22" t="s">
        <v>0</v>
      </c>
      <c r="E223" s="167">
        <v>2</v>
      </c>
      <c r="F223" s="24">
        <f>TRUNC(35,2)</f>
        <v>35</v>
      </c>
      <c r="G223" s="241">
        <f t="shared" si="11"/>
        <v>70</v>
      </c>
      <c r="H223" s="145"/>
      <c r="I223" s="145"/>
      <c r="J223" s="55"/>
    </row>
    <row r="224" spans="1:10" ht="18.75">
      <c r="A224" s="33"/>
      <c r="B224" s="64" t="s">
        <v>214</v>
      </c>
      <c r="C224" s="101" t="s">
        <v>890</v>
      </c>
      <c r="D224" s="22" t="s">
        <v>0</v>
      </c>
      <c r="E224" s="167">
        <v>2</v>
      </c>
      <c r="F224" s="24">
        <f>TRUNC(35.5,2)</f>
        <v>35.5</v>
      </c>
      <c r="G224" s="241">
        <f t="shared" si="11"/>
        <v>71</v>
      </c>
      <c r="H224" s="145"/>
      <c r="I224" s="145"/>
      <c r="J224" s="55"/>
    </row>
    <row r="225" spans="1:10" ht="18.75">
      <c r="A225" s="33"/>
      <c r="B225" s="64"/>
      <c r="C225" s="101"/>
      <c r="D225" s="22"/>
      <c r="E225" s="167" t="s">
        <v>5</v>
      </c>
      <c r="F225" s="24"/>
      <c r="G225" s="241">
        <f>TRUNC(SUM(G215:G224),2)</f>
        <v>502.96</v>
      </c>
      <c r="H225" s="145"/>
      <c r="I225" s="145"/>
      <c r="J225" s="55"/>
    </row>
    <row r="226" spans="1:11" s="74" customFormat="1" ht="54">
      <c r="A226" s="29" t="s">
        <v>209</v>
      </c>
      <c r="B226" s="113" t="s">
        <v>626</v>
      </c>
      <c r="C226" s="114" t="s">
        <v>625</v>
      </c>
      <c r="D226" s="30" t="s">
        <v>231</v>
      </c>
      <c r="E226" s="171">
        <v>1</v>
      </c>
      <c r="F226" s="115">
        <v>301.72</v>
      </c>
      <c r="G226" s="76">
        <f>TRUNC(E226*F226,2)</f>
        <v>301.72</v>
      </c>
      <c r="H226" s="145"/>
      <c r="I226" s="145"/>
      <c r="J226" s="69"/>
      <c r="K226" s="69"/>
    </row>
    <row r="227" spans="1:11" s="74" customFormat="1" ht="90">
      <c r="A227" s="33"/>
      <c r="B227" s="64" t="s">
        <v>420</v>
      </c>
      <c r="C227" s="104" t="s">
        <v>421</v>
      </c>
      <c r="D227" s="22" t="s">
        <v>44</v>
      </c>
      <c r="E227" s="167">
        <v>1</v>
      </c>
      <c r="F227" s="24">
        <f>TRUNC(G231,2)</f>
        <v>471.44</v>
      </c>
      <c r="G227" s="239">
        <f>TRUNC(E227*F227,2)</f>
        <v>471.44</v>
      </c>
      <c r="H227" s="128"/>
      <c r="I227" s="128"/>
      <c r="J227" s="69"/>
      <c r="K227" s="69"/>
    </row>
    <row r="228" spans="1:11" s="74" customFormat="1" ht="18.75">
      <c r="A228" s="33"/>
      <c r="B228" s="64" t="s">
        <v>217</v>
      </c>
      <c r="C228" s="104" t="s">
        <v>307</v>
      </c>
      <c r="D228" s="22" t="s">
        <v>46</v>
      </c>
      <c r="E228" s="167">
        <v>17.066</v>
      </c>
      <c r="F228" s="24">
        <f>TRUNC(18.6,2)</f>
        <v>18.6</v>
      </c>
      <c r="G228" s="128">
        <f>TRUNC(E228*F228,2)</f>
        <v>317.42</v>
      </c>
      <c r="H228" s="128"/>
      <c r="I228" s="128"/>
      <c r="J228" s="69"/>
      <c r="K228" s="69"/>
    </row>
    <row r="229" spans="1:11" s="74" customFormat="1" ht="36">
      <c r="A229" s="33"/>
      <c r="B229" s="64" t="s">
        <v>40</v>
      </c>
      <c r="C229" s="104" t="s">
        <v>41</v>
      </c>
      <c r="D229" s="22" t="s">
        <v>7</v>
      </c>
      <c r="E229" s="167">
        <v>4.7379999999999995</v>
      </c>
      <c r="F229" s="24">
        <f>TRUNC(13.08,2)</f>
        <v>13.08</v>
      </c>
      <c r="G229" s="128">
        <f>TRUNC(E229*F229,2)</f>
        <v>61.97</v>
      </c>
      <c r="H229" s="128"/>
      <c r="I229" s="128"/>
      <c r="J229" s="69"/>
      <c r="K229" s="69"/>
    </row>
    <row r="230" spans="1:11" s="74" customFormat="1" ht="36">
      <c r="A230" s="33"/>
      <c r="B230" s="64" t="s">
        <v>154</v>
      </c>
      <c r="C230" s="104" t="s">
        <v>278</v>
      </c>
      <c r="D230" s="22" t="s">
        <v>7</v>
      </c>
      <c r="E230" s="167">
        <v>4.7379999999999995</v>
      </c>
      <c r="F230" s="24">
        <f>TRUNC(19.43,2)</f>
        <v>19.43</v>
      </c>
      <c r="G230" s="128">
        <f>TRUNC(E230*F230,2)</f>
        <v>92.05</v>
      </c>
      <c r="H230" s="128"/>
      <c r="I230" s="128"/>
      <c r="J230" s="69"/>
      <c r="K230" s="69"/>
    </row>
    <row r="231" spans="1:11" s="74" customFormat="1" ht="18.75">
      <c r="A231" s="33"/>
      <c r="B231" s="64"/>
      <c r="C231" s="104"/>
      <c r="D231" s="22"/>
      <c r="E231" s="167" t="s">
        <v>5</v>
      </c>
      <c r="F231" s="24"/>
      <c r="G231" s="128">
        <f>TRUNC(SUM(G228:G230),2)</f>
        <v>471.44</v>
      </c>
      <c r="H231" s="128"/>
      <c r="I231" s="128"/>
      <c r="J231" s="69"/>
      <c r="K231" s="69"/>
    </row>
    <row r="232" spans="1:11" s="150" customFormat="1" ht="36">
      <c r="A232" s="153" t="s">
        <v>58</v>
      </c>
      <c r="B232" s="154" t="s">
        <v>635</v>
      </c>
      <c r="C232" s="155" t="s">
        <v>636</v>
      </c>
      <c r="D232" s="156" t="s">
        <v>106</v>
      </c>
      <c r="E232" s="178">
        <f>(2.5*1.5)+(2*1)*2</f>
        <v>7.75</v>
      </c>
      <c r="F232" s="157">
        <f>TRUNC((G233+G239),2)</f>
        <v>663.91</v>
      </c>
      <c r="G232" s="244">
        <f>TRUNC(F232*1.2882,2)</f>
        <v>855.24</v>
      </c>
      <c r="H232" s="244">
        <f>TRUNC(F232*E232,2)</f>
        <v>5145.3</v>
      </c>
      <c r="I232" s="244">
        <f>TRUNC(E232*G232,2)</f>
        <v>6628.11</v>
      </c>
      <c r="J232" s="149"/>
      <c r="K232" s="149"/>
    </row>
    <row r="233" spans="1:11" s="72" customFormat="1" ht="36">
      <c r="A233" s="33"/>
      <c r="B233" s="22" t="s">
        <v>986</v>
      </c>
      <c r="C233" s="104" t="s">
        <v>632</v>
      </c>
      <c r="D233" s="22" t="s">
        <v>44</v>
      </c>
      <c r="E233" s="167">
        <v>1</v>
      </c>
      <c r="F233" s="24">
        <f>TRUNC(G238,2)</f>
        <v>278.88</v>
      </c>
      <c r="G233" s="239">
        <f>TRUNC(E233*F233,2)</f>
        <v>278.88</v>
      </c>
      <c r="H233" s="128"/>
      <c r="I233" s="128"/>
      <c r="J233" s="55"/>
      <c r="K233" s="55"/>
    </row>
    <row r="234" spans="1:11" s="72" customFormat="1" ht="18.75">
      <c r="A234" s="33"/>
      <c r="B234" s="22" t="s">
        <v>987</v>
      </c>
      <c r="C234" s="104" t="s">
        <v>633</v>
      </c>
      <c r="D234" s="22" t="s">
        <v>44</v>
      </c>
      <c r="E234" s="167">
        <v>1</v>
      </c>
      <c r="F234" s="24">
        <f>TRUNC(249.26,2)</f>
        <v>249.26</v>
      </c>
      <c r="G234" s="128">
        <f>TRUNC(E234*F234,2)</f>
        <v>249.26</v>
      </c>
      <c r="H234" s="128"/>
      <c r="I234" s="128"/>
      <c r="J234" s="55"/>
      <c r="K234" s="55"/>
    </row>
    <row r="235" spans="1:11" s="72" customFormat="1" ht="18.75">
      <c r="A235" s="33"/>
      <c r="B235" s="22" t="s">
        <v>988</v>
      </c>
      <c r="C235" s="104" t="s">
        <v>634</v>
      </c>
      <c r="D235" s="22" t="s">
        <v>46</v>
      </c>
      <c r="E235" s="167">
        <v>1.5</v>
      </c>
      <c r="F235" s="24">
        <f>TRUNC(5.08,2)</f>
        <v>5.08</v>
      </c>
      <c r="G235" s="128">
        <f>TRUNC(E235*F235,2)</f>
        <v>7.62</v>
      </c>
      <c r="H235" s="128"/>
      <c r="I235" s="128"/>
      <c r="J235" s="55"/>
      <c r="K235" s="55"/>
    </row>
    <row r="236" spans="1:11" s="72" customFormat="1" ht="18.75">
      <c r="A236" s="33"/>
      <c r="B236" s="22" t="s">
        <v>989</v>
      </c>
      <c r="C236" s="104" t="s">
        <v>456</v>
      </c>
      <c r="D236" s="22" t="s">
        <v>7</v>
      </c>
      <c r="E236" s="167">
        <v>0.5</v>
      </c>
      <c r="F236" s="24">
        <f>TRUNC(24.16,2)</f>
        <v>24.16</v>
      </c>
      <c r="G236" s="128">
        <f>TRUNC(E236*F236,2)</f>
        <v>12.08</v>
      </c>
      <c r="H236" s="128"/>
      <c r="I236" s="128"/>
      <c r="J236" s="55"/>
      <c r="K236" s="55"/>
    </row>
    <row r="237" spans="1:11" s="72" customFormat="1" ht="18.75">
      <c r="A237" s="33"/>
      <c r="B237" s="22" t="s">
        <v>964</v>
      </c>
      <c r="C237" s="104" t="s">
        <v>286</v>
      </c>
      <c r="D237" s="22" t="s">
        <v>7</v>
      </c>
      <c r="E237" s="167">
        <v>0.5</v>
      </c>
      <c r="F237" s="24">
        <f>TRUNC(19.85,2)</f>
        <v>19.85</v>
      </c>
      <c r="G237" s="128">
        <f>TRUNC(E237*F237,2)</f>
        <v>9.92</v>
      </c>
      <c r="H237" s="128"/>
      <c r="I237" s="128"/>
      <c r="J237" s="55"/>
      <c r="K237" s="55"/>
    </row>
    <row r="238" spans="1:11" s="72" customFormat="1" ht="18.75">
      <c r="A238" s="33"/>
      <c r="B238" s="22"/>
      <c r="C238" s="104"/>
      <c r="D238" s="22"/>
      <c r="E238" s="167" t="s">
        <v>5</v>
      </c>
      <c r="F238" s="24"/>
      <c r="G238" s="128">
        <f>TRUNC(SUM(G234:G237),2)</f>
        <v>278.88</v>
      </c>
      <c r="H238" s="128"/>
      <c r="I238" s="128"/>
      <c r="J238" s="55"/>
      <c r="K238" s="55"/>
    </row>
    <row r="239" spans="1:11" s="72" customFormat="1" ht="90">
      <c r="A239" s="33"/>
      <c r="B239" s="22" t="s">
        <v>630</v>
      </c>
      <c r="C239" s="104" t="s">
        <v>631</v>
      </c>
      <c r="D239" s="22" t="s">
        <v>44</v>
      </c>
      <c r="E239" s="167">
        <v>1</v>
      </c>
      <c r="F239" s="24">
        <f>TRUNC(G243,2)</f>
        <v>385.03</v>
      </c>
      <c r="G239" s="128">
        <f>TRUNC(E239*F239,2)</f>
        <v>385.03</v>
      </c>
      <c r="H239" s="128"/>
      <c r="I239" s="128"/>
      <c r="J239" s="55"/>
      <c r="K239" s="55"/>
    </row>
    <row r="240" spans="1:11" s="72" customFormat="1" ht="18.75">
      <c r="A240" s="33"/>
      <c r="B240" s="22" t="s">
        <v>217</v>
      </c>
      <c r="C240" s="104" t="s">
        <v>307</v>
      </c>
      <c r="D240" s="22" t="s">
        <v>46</v>
      </c>
      <c r="E240" s="167">
        <v>12.42</v>
      </c>
      <c r="F240" s="24">
        <f>TRUNC(18.6,2)</f>
        <v>18.6</v>
      </c>
      <c r="G240" s="128">
        <f>TRUNC(E240*F240,2)</f>
        <v>231.01</v>
      </c>
      <c r="H240" s="128"/>
      <c r="I240" s="128"/>
      <c r="J240" s="55"/>
      <c r="K240" s="55"/>
    </row>
    <row r="241" spans="1:11" s="72" customFormat="1" ht="36">
      <c r="A241" s="33"/>
      <c r="B241" s="22" t="s">
        <v>40</v>
      </c>
      <c r="C241" s="104" t="s">
        <v>41</v>
      </c>
      <c r="D241" s="22" t="s">
        <v>7</v>
      </c>
      <c r="E241" s="167">
        <v>4.7379999999999995</v>
      </c>
      <c r="F241" s="24">
        <f>TRUNC(13.08,2)</f>
        <v>13.08</v>
      </c>
      <c r="G241" s="128">
        <f>TRUNC(E241*F241,2)</f>
        <v>61.97</v>
      </c>
      <c r="H241" s="128"/>
      <c r="I241" s="128"/>
      <c r="J241" s="55"/>
      <c r="K241" s="55"/>
    </row>
    <row r="242" spans="1:11" s="72" customFormat="1" ht="36">
      <c r="A242" s="33"/>
      <c r="B242" s="22" t="s">
        <v>154</v>
      </c>
      <c r="C242" s="104" t="s">
        <v>278</v>
      </c>
      <c r="D242" s="22" t="s">
        <v>7</v>
      </c>
      <c r="E242" s="167">
        <v>4.7379999999999995</v>
      </c>
      <c r="F242" s="24">
        <f>TRUNC(19.43,2)</f>
        <v>19.43</v>
      </c>
      <c r="G242" s="128">
        <f>TRUNC(E242*F242,2)</f>
        <v>92.05</v>
      </c>
      <c r="H242" s="128"/>
      <c r="I242" s="128"/>
      <c r="J242" s="55"/>
      <c r="K242" s="55"/>
    </row>
    <row r="243" spans="1:11" s="72" customFormat="1" ht="18.75">
      <c r="A243" s="33"/>
      <c r="B243" s="22"/>
      <c r="C243" s="104"/>
      <c r="D243" s="22"/>
      <c r="E243" s="167" t="s">
        <v>5</v>
      </c>
      <c r="F243" s="24"/>
      <c r="G243" s="128">
        <f>TRUNC(SUM(G240:G242),2)</f>
        <v>385.03</v>
      </c>
      <c r="H243" s="128"/>
      <c r="I243" s="128"/>
      <c r="J243" s="55"/>
      <c r="K243" s="55"/>
    </row>
    <row r="244" spans="1:11" s="150" customFormat="1" ht="36">
      <c r="A244" s="153" t="s">
        <v>59</v>
      </c>
      <c r="B244" s="154" t="s">
        <v>426</v>
      </c>
      <c r="C244" s="155" t="s">
        <v>674</v>
      </c>
      <c r="D244" s="156" t="s">
        <v>106</v>
      </c>
      <c r="E244" s="178">
        <v>1.35</v>
      </c>
      <c r="F244" s="157">
        <f>TRUNC(G245+G250,2)</f>
        <v>535.42</v>
      </c>
      <c r="G244" s="244">
        <f>TRUNC(F244*1.2882,2)</f>
        <v>689.72</v>
      </c>
      <c r="H244" s="244">
        <f>TRUNC(F244*E244,2)</f>
        <v>722.81</v>
      </c>
      <c r="I244" s="244">
        <f>TRUNC(E244*G244,2)</f>
        <v>931.12</v>
      </c>
      <c r="J244" s="149"/>
      <c r="K244" s="149"/>
    </row>
    <row r="245" spans="1:9" ht="72">
      <c r="A245" s="31"/>
      <c r="B245" s="79" t="s">
        <v>426</v>
      </c>
      <c r="C245" s="80" t="s">
        <v>427</v>
      </c>
      <c r="D245" s="18" t="s">
        <v>44</v>
      </c>
      <c r="E245" s="169">
        <v>1</v>
      </c>
      <c r="F245" s="19">
        <f>TRUNC(G249,2)</f>
        <v>325.98</v>
      </c>
      <c r="G245" s="239">
        <f>TRUNC(E245*F245,2)</f>
        <v>325.98</v>
      </c>
      <c r="H245" s="128"/>
      <c r="I245" s="128"/>
    </row>
    <row r="246" spans="1:9" ht="18.75">
      <c r="A246" s="33"/>
      <c r="B246" s="64" t="s">
        <v>217</v>
      </c>
      <c r="C246" s="78" t="s">
        <v>307</v>
      </c>
      <c r="D246" s="22" t="s">
        <v>46</v>
      </c>
      <c r="E246" s="167">
        <v>11.316</v>
      </c>
      <c r="F246" s="24">
        <f>TRUNC(18.6,2)</f>
        <v>18.6</v>
      </c>
      <c r="G246" s="128">
        <f>TRUNC(E246*F246,2)</f>
        <v>210.47</v>
      </c>
      <c r="H246" s="128"/>
      <c r="I246" s="128"/>
    </row>
    <row r="247" spans="1:9" ht="36">
      <c r="A247" s="33"/>
      <c r="B247" s="64" t="s">
        <v>40</v>
      </c>
      <c r="C247" s="78" t="s">
        <v>41</v>
      </c>
      <c r="D247" s="22" t="s">
        <v>7</v>
      </c>
      <c r="E247" s="167">
        <v>3.5534999999999997</v>
      </c>
      <c r="F247" s="24">
        <f>TRUNC(13.08,2)</f>
        <v>13.08</v>
      </c>
      <c r="G247" s="128">
        <f>TRUNC(E247*F247,2)</f>
        <v>46.47</v>
      </c>
      <c r="H247" s="128"/>
      <c r="I247" s="128"/>
    </row>
    <row r="248" spans="1:9" ht="36">
      <c r="A248" s="33"/>
      <c r="B248" s="64" t="s">
        <v>154</v>
      </c>
      <c r="C248" s="78" t="s">
        <v>278</v>
      </c>
      <c r="D248" s="22" t="s">
        <v>7</v>
      </c>
      <c r="E248" s="167">
        <v>3.5534999999999997</v>
      </c>
      <c r="F248" s="24">
        <f>TRUNC(19.43,2)</f>
        <v>19.43</v>
      </c>
      <c r="G248" s="128">
        <f>TRUNC(E248*F248,2)</f>
        <v>69.04</v>
      </c>
      <c r="H248" s="128"/>
      <c r="I248" s="128"/>
    </row>
    <row r="249" spans="1:9" ht="18.75">
      <c r="A249" s="33"/>
      <c r="B249" s="64"/>
      <c r="C249" s="78"/>
      <c r="D249" s="22"/>
      <c r="E249" s="167" t="s">
        <v>5</v>
      </c>
      <c r="F249" s="24"/>
      <c r="G249" s="128">
        <f>TRUNC(SUM(G246:G248),2)</f>
        <v>325.98</v>
      </c>
      <c r="H249" s="128"/>
      <c r="I249" s="128"/>
    </row>
    <row r="250" spans="1:13" ht="36">
      <c r="A250" s="33"/>
      <c r="B250" s="64" t="s">
        <v>422</v>
      </c>
      <c r="C250" s="78" t="s">
        <v>423</v>
      </c>
      <c r="D250" s="22" t="s">
        <v>44</v>
      </c>
      <c r="E250" s="167">
        <v>1</v>
      </c>
      <c r="F250" s="24">
        <f>TRUNC(209.44,2)</f>
        <v>209.44</v>
      </c>
      <c r="G250" s="128">
        <f>TRUNC(E250*F250,2)</f>
        <v>209.44</v>
      </c>
      <c r="H250" s="128"/>
      <c r="I250" s="128"/>
      <c r="L250" s="73"/>
      <c r="M250" s="73"/>
    </row>
    <row r="251" spans="1:13" ht="18.75">
      <c r="A251" s="33"/>
      <c r="B251" s="64" t="s">
        <v>424</v>
      </c>
      <c r="C251" s="78" t="s">
        <v>425</v>
      </c>
      <c r="D251" s="22" t="s">
        <v>44</v>
      </c>
      <c r="E251" s="167">
        <v>1</v>
      </c>
      <c r="F251" s="24">
        <f>TRUNC(209.44,2)</f>
        <v>209.44</v>
      </c>
      <c r="G251" s="128">
        <f>TRUNC(E251*F251,2)</f>
        <v>209.44</v>
      </c>
      <c r="H251" s="128"/>
      <c r="I251" s="128"/>
      <c r="L251" s="73"/>
      <c r="M251" s="73"/>
    </row>
    <row r="252" spans="1:13" ht="18.75">
      <c r="A252" s="33"/>
      <c r="B252" s="64"/>
      <c r="C252" s="78"/>
      <c r="D252" s="22"/>
      <c r="E252" s="167" t="s">
        <v>5</v>
      </c>
      <c r="F252" s="24"/>
      <c r="G252" s="128">
        <f>TRUNC(SUM(G251:G251),2)</f>
        <v>209.44</v>
      </c>
      <c r="H252" s="128"/>
      <c r="I252" s="128"/>
      <c r="L252" s="73"/>
      <c r="M252" s="73"/>
    </row>
    <row r="253" spans="1:11" s="150" customFormat="1" ht="54">
      <c r="A253" s="153" t="s">
        <v>86</v>
      </c>
      <c r="B253" s="154" t="s">
        <v>644</v>
      </c>
      <c r="C253" s="155" t="s">
        <v>819</v>
      </c>
      <c r="D253" s="156" t="s">
        <v>231</v>
      </c>
      <c r="E253" s="178">
        <v>1</v>
      </c>
      <c r="F253" s="157">
        <f>TRUNC((G254+G259+G266+G272),2)</f>
        <v>496.57</v>
      </c>
      <c r="G253" s="244">
        <f>TRUNC(F253*1.2882,2)</f>
        <v>639.68</v>
      </c>
      <c r="H253" s="244">
        <f>TRUNC(F253*E253,2)</f>
        <v>496.57</v>
      </c>
      <c r="I253" s="244">
        <f>TRUNC(E253*G253,2)</f>
        <v>639.68</v>
      </c>
      <c r="J253" s="149"/>
      <c r="K253" s="149"/>
    </row>
    <row r="254" spans="1:11" s="72" customFormat="1" ht="54">
      <c r="A254" s="33" t="s">
        <v>132</v>
      </c>
      <c r="B254" s="64" t="s">
        <v>416</v>
      </c>
      <c r="C254" s="104" t="s">
        <v>990</v>
      </c>
      <c r="D254" s="22" t="s">
        <v>0</v>
      </c>
      <c r="E254" s="167">
        <v>1</v>
      </c>
      <c r="F254" s="61">
        <f>TRUNC(G258,2)</f>
        <v>203.83</v>
      </c>
      <c r="G254" s="239">
        <f>TRUNC(E254*F254,2)</f>
        <v>203.83</v>
      </c>
      <c r="H254" s="128"/>
      <c r="I254" s="128"/>
      <c r="J254" s="55"/>
      <c r="K254" s="55"/>
    </row>
    <row r="255" spans="1:11" s="72" customFormat="1" ht="18.75">
      <c r="A255" s="33"/>
      <c r="B255" s="64" t="s">
        <v>417</v>
      </c>
      <c r="C255" s="104" t="s">
        <v>418</v>
      </c>
      <c r="D255" s="22" t="s">
        <v>0</v>
      </c>
      <c r="E255" s="167">
        <v>1</v>
      </c>
      <c r="F255" s="61">
        <f>TRUNC(69.9,2)</f>
        <v>69.9</v>
      </c>
      <c r="G255" s="128">
        <f>TRUNC(E255*F255,2)</f>
        <v>69.9</v>
      </c>
      <c r="H255" s="128"/>
      <c r="I255" s="128"/>
      <c r="J255" s="55"/>
      <c r="K255" s="55"/>
    </row>
    <row r="256" spans="1:11" s="72" customFormat="1" ht="36">
      <c r="A256" s="33"/>
      <c r="B256" s="64" t="s">
        <v>40</v>
      </c>
      <c r="C256" s="104" t="s">
        <v>41</v>
      </c>
      <c r="D256" s="22" t="s">
        <v>7</v>
      </c>
      <c r="E256" s="167">
        <v>4.12</v>
      </c>
      <c r="F256" s="61">
        <f>TRUNC(13.08,2)</f>
        <v>13.08</v>
      </c>
      <c r="G256" s="128">
        <f>TRUNC(E256*F256,2)</f>
        <v>53.88</v>
      </c>
      <c r="H256" s="128"/>
      <c r="I256" s="128"/>
      <c r="J256" s="55"/>
      <c r="K256" s="55"/>
    </row>
    <row r="257" spans="1:11" s="72" customFormat="1" ht="36">
      <c r="A257" s="33"/>
      <c r="B257" s="64" t="s">
        <v>73</v>
      </c>
      <c r="C257" s="104" t="s">
        <v>395</v>
      </c>
      <c r="D257" s="22" t="s">
        <v>7</v>
      </c>
      <c r="E257" s="167">
        <v>4.12</v>
      </c>
      <c r="F257" s="61">
        <f>TRUNC(19.43,2)</f>
        <v>19.43</v>
      </c>
      <c r="G257" s="128">
        <f>TRUNC(E257*F257,2)</f>
        <v>80.05</v>
      </c>
      <c r="H257" s="128"/>
      <c r="I257" s="128"/>
      <c r="J257" s="55"/>
      <c r="K257" s="55"/>
    </row>
    <row r="258" spans="1:11" s="72" customFormat="1" ht="18.75">
      <c r="A258" s="33"/>
      <c r="B258" s="64"/>
      <c r="C258" s="104"/>
      <c r="D258" s="22"/>
      <c r="E258" s="167" t="s">
        <v>5</v>
      </c>
      <c r="F258" s="61"/>
      <c r="G258" s="128">
        <f>TRUNC(SUM(G255:G257),2)</f>
        <v>203.83</v>
      </c>
      <c r="H258" s="128"/>
      <c r="I258" s="128"/>
      <c r="J258" s="55"/>
      <c r="K258" s="55"/>
    </row>
    <row r="259" spans="1:11" s="72" customFormat="1" ht="36">
      <c r="A259" s="33" t="s">
        <v>133</v>
      </c>
      <c r="B259" s="64" t="s">
        <v>204</v>
      </c>
      <c r="C259" s="104" t="s">
        <v>892</v>
      </c>
      <c r="D259" s="22" t="s">
        <v>52</v>
      </c>
      <c r="E259" s="167">
        <v>5.2</v>
      </c>
      <c r="F259" s="24">
        <f>TRUNC(G265,2)</f>
        <v>33.98</v>
      </c>
      <c r="G259" s="145">
        <f aca="true" t="shared" si="12" ref="G259:G264">TRUNC(E259*F259,2)</f>
        <v>176.69</v>
      </c>
      <c r="H259" s="145"/>
      <c r="I259" s="145"/>
      <c r="J259" s="55"/>
      <c r="K259" s="55"/>
    </row>
    <row r="260" spans="1:11" s="72" customFormat="1" ht="18.75">
      <c r="A260" s="33"/>
      <c r="B260" s="64" t="s">
        <v>205</v>
      </c>
      <c r="C260" s="104" t="s">
        <v>991</v>
      </c>
      <c r="D260" s="22" t="s">
        <v>52</v>
      </c>
      <c r="E260" s="167">
        <v>1.1</v>
      </c>
      <c r="F260" s="24">
        <f>TRUNC(19.04,2)</f>
        <v>19.04</v>
      </c>
      <c r="G260" s="145">
        <f t="shared" si="12"/>
        <v>20.94</v>
      </c>
      <c r="H260" s="145"/>
      <c r="I260" s="145"/>
      <c r="J260" s="55"/>
      <c r="K260" s="55"/>
    </row>
    <row r="261" spans="1:11" s="72" customFormat="1" ht="36">
      <c r="A261" s="33"/>
      <c r="B261" s="64" t="s">
        <v>54</v>
      </c>
      <c r="C261" s="104" t="s">
        <v>102</v>
      </c>
      <c r="D261" s="22" t="s">
        <v>46</v>
      </c>
      <c r="E261" s="167">
        <v>0.01</v>
      </c>
      <c r="F261" s="24">
        <f>TRUNC(8.55,2)</f>
        <v>8.55</v>
      </c>
      <c r="G261" s="145">
        <f t="shared" si="12"/>
        <v>0.08</v>
      </c>
      <c r="H261" s="145"/>
      <c r="I261" s="145"/>
      <c r="J261" s="55"/>
      <c r="K261" s="55"/>
    </row>
    <row r="262" spans="1:11" s="72" customFormat="1" ht="36">
      <c r="A262" s="33"/>
      <c r="B262" s="64" t="s">
        <v>40</v>
      </c>
      <c r="C262" s="104" t="s">
        <v>41</v>
      </c>
      <c r="D262" s="22" t="s">
        <v>7</v>
      </c>
      <c r="E262" s="167">
        <v>0.3605</v>
      </c>
      <c r="F262" s="24">
        <f>TRUNC(13.08,2)</f>
        <v>13.08</v>
      </c>
      <c r="G262" s="145">
        <f t="shared" si="12"/>
        <v>4.71</v>
      </c>
      <c r="H262" s="145"/>
      <c r="I262" s="145"/>
      <c r="J262" s="55"/>
      <c r="K262" s="55"/>
    </row>
    <row r="263" spans="1:11" s="72" customFormat="1" ht="36">
      <c r="A263" s="33"/>
      <c r="B263" s="64" t="s">
        <v>73</v>
      </c>
      <c r="C263" s="104" t="s">
        <v>395</v>
      </c>
      <c r="D263" s="22" t="s">
        <v>7</v>
      </c>
      <c r="E263" s="167">
        <v>0.3605</v>
      </c>
      <c r="F263" s="24">
        <f>TRUNC(19.43,2)</f>
        <v>19.43</v>
      </c>
      <c r="G263" s="145">
        <f t="shared" si="12"/>
        <v>7</v>
      </c>
      <c r="H263" s="145"/>
      <c r="I263" s="145"/>
      <c r="J263" s="55"/>
      <c r="K263" s="55"/>
    </row>
    <row r="264" spans="1:11" s="72" customFormat="1" ht="18.75">
      <c r="A264" s="33"/>
      <c r="B264" s="64" t="s">
        <v>206</v>
      </c>
      <c r="C264" s="104" t="s">
        <v>419</v>
      </c>
      <c r="D264" s="22" t="s">
        <v>0</v>
      </c>
      <c r="E264" s="167">
        <v>1.23</v>
      </c>
      <c r="F264" s="24">
        <f>TRUNC(1.0204,2)</f>
        <v>1.02</v>
      </c>
      <c r="G264" s="145">
        <f t="shared" si="12"/>
        <v>1.25</v>
      </c>
      <c r="H264" s="145"/>
      <c r="I264" s="145"/>
      <c r="J264" s="55"/>
      <c r="K264" s="55"/>
    </row>
    <row r="265" spans="1:11" s="72" customFormat="1" ht="15" customHeight="1">
      <c r="A265" s="33"/>
      <c r="B265" s="64"/>
      <c r="C265" s="104"/>
      <c r="D265" s="22"/>
      <c r="E265" s="167" t="s">
        <v>5</v>
      </c>
      <c r="F265" s="24"/>
      <c r="G265" s="145">
        <f>TRUNC(SUM(G260:G264),2)</f>
        <v>33.98</v>
      </c>
      <c r="H265" s="145"/>
      <c r="I265" s="145"/>
      <c r="J265" s="55"/>
      <c r="K265" s="55"/>
    </row>
    <row r="266" spans="1:9" ht="36">
      <c r="A266" s="33" t="s">
        <v>209</v>
      </c>
      <c r="B266" s="64" t="s">
        <v>207</v>
      </c>
      <c r="C266" s="104" t="s">
        <v>893</v>
      </c>
      <c r="D266" s="22" t="s">
        <v>52</v>
      </c>
      <c r="E266" s="167">
        <v>10.4</v>
      </c>
      <c r="F266" s="24">
        <f>TRUNC(G271,2)</f>
        <v>6.14</v>
      </c>
      <c r="G266" s="145">
        <f>TRUNC(E266*F266,2)</f>
        <v>63.85</v>
      </c>
      <c r="H266" s="145"/>
      <c r="I266" s="145"/>
    </row>
    <row r="267" spans="1:9" ht="18.75">
      <c r="A267" s="33"/>
      <c r="B267" s="64" t="s">
        <v>208</v>
      </c>
      <c r="C267" s="104" t="s">
        <v>894</v>
      </c>
      <c r="D267" s="22" t="s">
        <v>52</v>
      </c>
      <c r="E267" s="167">
        <v>1.1</v>
      </c>
      <c r="F267" s="24">
        <f>TRUNC(3.27,2)</f>
        <v>3.27</v>
      </c>
      <c r="G267" s="145">
        <f>TRUNC(E267*F267,2)</f>
        <v>3.59</v>
      </c>
      <c r="H267" s="145"/>
      <c r="I267" s="145"/>
    </row>
    <row r="268" spans="1:9" ht="36">
      <c r="A268" s="33"/>
      <c r="B268" s="64" t="s">
        <v>54</v>
      </c>
      <c r="C268" s="104" t="s">
        <v>102</v>
      </c>
      <c r="D268" s="22" t="s">
        <v>46</v>
      </c>
      <c r="E268" s="167">
        <v>0.005</v>
      </c>
      <c r="F268" s="24">
        <f>TRUNC(8.55,2)</f>
        <v>8.55</v>
      </c>
      <c r="G268" s="145">
        <f>TRUNC(E268*F268,2)</f>
        <v>0.04</v>
      </c>
      <c r="H268" s="145"/>
      <c r="I268" s="145"/>
    </row>
    <row r="269" spans="1:9" ht="36">
      <c r="A269" s="33"/>
      <c r="B269" s="64" t="s">
        <v>40</v>
      </c>
      <c r="C269" s="104" t="s">
        <v>41</v>
      </c>
      <c r="D269" s="22" t="s">
        <v>7</v>
      </c>
      <c r="E269" s="167">
        <v>0.07725</v>
      </c>
      <c r="F269" s="24">
        <f>TRUNC(13.08,2)</f>
        <v>13.08</v>
      </c>
      <c r="G269" s="145">
        <f>TRUNC(E269*F269,2)</f>
        <v>1.01</v>
      </c>
      <c r="H269" s="145"/>
      <c r="I269" s="145"/>
    </row>
    <row r="270" spans="1:9" ht="36">
      <c r="A270" s="33"/>
      <c r="B270" s="64" t="s">
        <v>73</v>
      </c>
      <c r="C270" s="104" t="s">
        <v>395</v>
      </c>
      <c r="D270" s="22" t="s">
        <v>7</v>
      </c>
      <c r="E270" s="167">
        <v>0.07725</v>
      </c>
      <c r="F270" s="24">
        <f>TRUNC(19.43,2)</f>
        <v>19.43</v>
      </c>
      <c r="G270" s="145">
        <f>TRUNC(E270*F270,2)</f>
        <v>1.5</v>
      </c>
      <c r="H270" s="145"/>
      <c r="I270" s="145"/>
    </row>
    <row r="271" spans="1:9" ht="18.75">
      <c r="A271" s="33"/>
      <c r="B271" s="64"/>
      <c r="C271" s="104"/>
      <c r="D271" s="22"/>
      <c r="E271" s="167" t="s">
        <v>5</v>
      </c>
      <c r="F271" s="24"/>
      <c r="G271" s="145">
        <f>TRUNC(SUM(G267:G270),2)</f>
        <v>6.14</v>
      </c>
      <c r="H271" s="145"/>
      <c r="I271" s="145"/>
    </row>
    <row r="272" spans="1:11" ht="90">
      <c r="A272" s="33" t="s">
        <v>637</v>
      </c>
      <c r="B272" s="64" t="s">
        <v>638</v>
      </c>
      <c r="C272" s="104" t="s">
        <v>639</v>
      </c>
      <c r="D272" s="22" t="s">
        <v>0</v>
      </c>
      <c r="E272" s="167">
        <v>1</v>
      </c>
      <c r="F272" s="24">
        <f>TRUNC(G275,2)</f>
        <v>52.2</v>
      </c>
      <c r="G272" s="128">
        <f>TRUNC(E272*F272,2)</f>
        <v>52.2</v>
      </c>
      <c r="H272" s="128"/>
      <c r="I272" s="128"/>
      <c r="K272" s="60"/>
    </row>
    <row r="273" spans="1:11" ht="36">
      <c r="A273" s="33"/>
      <c r="B273" s="64" t="s">
        <v>640</v>
      </c>
      <c r="C273" s="104" t="s">
        <v>641</v>
      </c>
      <c r="D273" s="22" t="s">
        <v>0</v>
      </c>
      <c r="E273" s="167">
        <v>1</v>
      </c>
      <c r="F273" s="24">
        <f>TRUNC(41.19,2)</f>
        <v>41.19</v>
      </c>
      <c r="G273" s="128">
        <f>TRUNC(E273*F273,2)</f>
        <v>41.19</v>
      </c>
      <c r="H273" s="128"/>
      <c r="I273" s="128"/>
      <c r="K273" s="60"/>
    </row>
    <row r="274" spans="1:11" ht="18.75">
      <c r="A274" s="33"/>
      <c r="B274" s="64" t="s">
        <v>642</v>
      </c>
      <c r="C274" s="104" t="s">
        <v>643</v>
      </c>
      <c r="D274" s="22" t="s">
        <v>0</v>
      </c>
      <c r="E274" s="167">
        <v>3</v>
      </c>
      <c r="F274" s="24">
        <f>TRUNC(3.67,2)</f>
        <v>3.67</v>
      </c>
      <c r="G274" s="128">
        <f>TRUNC(E274*F274,2)</f>
        <v>11.01</v>
      </c>
      <c r="H274" s="128"/>
      <c r="I274" s="128"/>
      <c r="K274" s="60"/>
    </row>
    <row r="275" spans="1:11" ht="18.75">
      <c r="A275" s="33"/>
      <c r="B275" s="64"/>
      <c r="C275" s="104"/>
      <c r="D275" s="22"/>
      <c r="E275" s="167" t="s">
        <v>5</v>
      </c>
      <c r="F275" s="24"/>
      <c r="G275" s="128">
        <f>TRUNC(SUM(G273:G274),2)</f>
        <v>52.2</v>
      </c>
      <c r="H275" s="128"/>
      <c r="I275" s="128"/>
      <c r="K275" s="60"/>
    </row>
    <row r="276" spans="1:11" s="150" customFormat="1" ht="54">
      <c r="A276" s="153" t="s">
        <v>87</v>
      </c>
      <c r="B276" s="154" t="s">
        <v>645</v>
      </c>
      <c r="C276" s="155" t="s">
        <v>820</v>
      </c>
      <c r="D276" s="156" t="s">
        <v>231</v>
      </c>
      <c r="E276" s="178">
        <v>1</v>
      </c>
      <c r="F276" s="157">
        <f>G277+G282</f>
        <v>256.04</v>
      </c>
      <c r="G276" s="244">
        <f>TRUNC(F276*1.2882,2)</f>
        <v>329.83</v>
      </c>
      <c r="H276" s="244">
        <f>TRUNC(F276*E276,2)</f>
        <v>256.04</v>
      </c>
      <c r="I276" s="244">
        <f>TRUNC(E276*G276,2)</f>
        <v>329.83</v>
      </c>
      <c r="J276" s="149"/>
      <c r="K276" s="149"/>
    </row>
    <row r="277" spans="1:9" ht="54">
      <c r="A277" s="33" t="s">
        <v>132</v>
      </c>
      <c r="B277" s="64" t="s">
        <v>416</v>
      </c>
      <c r="C277" s="101" t="s">
        <v>990</v>
      </c>
      <c r="D277" s="22" t="s">
        <v>0</v>
      </c>
      <c r="E277" s="167">
        <v>1</v>
      </c>
      <c r="F277" s="61">
        <f>TRUNC(203.8412,2)</f>
        <v>203.84</v>
      </c>
      <c r="G277" s="239">
        <f>TRUNC(E277*F277,2)</f>
        <v>203.84</v>
      </c>
      <c r="H277" s="128"/>
      <c r="I277" s="128"/>
    </row>
    <row r="278" spans="1:9" ht="18.75">
      <c r="A278" s="33"/>
      <c r="B278" s="64" t="s">
        <v>417</v>
      </c>
      <c r="C278" s="101" t="s">
        <v>418</v>
      </c>
      <c r="D278" s="22" t="s">
        <v>0</v>
      </c>
      <c r="E278" s="167">
        <v>1</v>
      </c>
      <c r="F278" s="61">
        <f>TRUNC(69.9,2)</f>
        <v>69.9</v>
      </c>
      <c r="G278" s="128">
        <f>TRUNC(E278*F278,2)</f>
        <v>69.9</v>
      </c>
      <c r="H278" s="128"/>
      <c r="I278" s="128"/>
    </row>
    <row r="279" spans="1:9" ht="36">
      <c r="A279" s="33"/>
      <c r="B279" s="64" t="s">
        <v>40</v>
      </c>
      <c r="C279" s="101" t="s">
        <v>41</v>
      </c>
      <c r="D279" s="22" t="s">
        <v>7</v>
      </c>
      <c r="E279" s="167">
        <v>4.12</v>
      </c>
      <c r="F279" s="61">
        <f>TRUNC(13.08,2)</f>
        <v>13.08</v>
      </c>
      <c r="G279" s="128">
        <f>TRUNC(E279*F279,2)</f>
        <v>53.88</v>
      </c>
      <c r="H279" s="128"/>
      <c r="I279" s="128"/>
    </row>
    <row r="280" spans="1:9" ht="36">
      <c r="A280" s="33"/>
      <c r="B280" s="64" t="s">
        <v>73</v>
      </c>
      <c r="C280" s="101" t="s">
        <v>395</v>
      </c>
      <c r="D280" s="22" t="s">
        <v>7</v>
      </c>
      <c r="E280" s="167">
        <v>4.12</v>
      </c>
      <c r="F280" s="61">
        <f>TRUNC(19.43,2)</f>
        <v>19.43</v>
      </c>
      <c r="G280" s="128">
        <f>TRUNC(E280*F280,2)</f>
        <v>80.05</v>
      </c>
      <c r="H280" s="128"/>
      <c r="I280" s="128"/>
    </row>
    <row r="281" spans="1:9" ht="18.75">
      <c r="A281" s="33"/>
      <c r="B281" s="64"/>
      <c r="C281" s="101"/>
      <c r="D281" s="22"/>
      <c r="E281" s="167" t="s">
        <v>5</v>
      </c>
      <c r="F281" s="61"/>
      <c r="G281" s="128">
        <f>TRUNC(SUM(G278:G280),2)</f>
        <v>203.83</v>
      </c>
      <c r="H281" s="128"/>
      <c r="I281" s="128"/>
    </row>
    <row r="282" spans="1:11" ht="90">
      <c r="A282" s="33" t="s">
        <v>637</v>
      </c>
      <c r="B282" s="64" t="s">
        <v>638</v>
      </c>
      <c r="C282" s="104" t="s">
        <v>639</v>
      </c>
      <c r="D282" s="22" t="s">
        <v>0</v>
      </c>
      <c r="E282" s="167">
        <v>1</v>
      </c>
      <c r="F282" s="24">
        <f>TRUNC(52.2,2)</f>
        <v>52.2</v>
      </c>
      <c r="G282" s="128">
        <f>TRUNC(E282*F282,2)</f>
        <v>52.2</v>
      </c>
      <c r="H282" s="128"/>
      <c r="I282" s="128"/>
      <c r="K282" s="60"/>
    </row>
    <row r="283" spans="1:11" ht="36">
      <c r="A283" s="33"/>
      <c r="B283" s="64" t="s">
        <v>640</v>
      </c>
      <c r="C283" s="104" t="s">
        <v>641</v>
      </c>
      <c r="D283" s="22" t="s">
        <v>0</v>
      </c>
      <c r="E283" s="167">
        <v>1</v>
      </c>
      <c r="F283" s="24">
        <f>TRUNC(41.19,2)</f>
        <v>41.19</v>
      </c>
      <c r="G283" s="128">
        <f>TRUNC(E283*F283,2)</f>
        <v>41.19</v>
      </c>
      <c r="H283" s="128"/>
      <c r="I283" s="128"/>
      <c r="K283" s="60"/>
    </row>
    <row r="284" spans="1:11" ht="18.75">
      <c r="A284" s="33"/>
      <c r="B284" s="64" t="s">
        <v>642</v>
      </c>
      <c r="C284" s="104" t="s">
        <v>643</v>
      </c>
      <c r="D284" s="22" t="s">
        <v>0</v>
      </c>
      <c r="E284" s="167">
        <v>3</v>
      </c>
      <c r="F284" s="24">
        <f>TRUNC(3.67,2)</f>
        <v>3.67</v>
      </c>
      <c r="G284" s="128">
        <f>TRUNC(E284*F284,2)</f>
        <v>11.01</v>
      </c>
      <c r="H284" s="128"/>
      <c r="I284" s="128"/>
      <c r="K284" s="60"/>
    </row>
    <row r="285" spans="1:11" ht="18.75">
      <c r="A285" s="33"/>
      <c r="B285" s="64"/>
      <c r="C285" s="104"/>
      <c r="D285" s="22"/>
      <c r="E285" s="167" t="s">
        <v>5</v>
      </c>
      <c r="F285" s="24"/>
      <c r="G285" s="128">
        <f>TRUNC(SUM(G283:G284),2)</f>
        <v>52.2</v>
      </c>
      <c r="H285" s="128"/>
      <c r="I285" s="128"/>
      <c r="K285" s="60"/>
    </row>
    <row r="286" spans="1:11" s="150" customFormat="1" ht="72">
      <c r="A286" s="153" t="s">
        <v>88</v>
      </c>
      <c r="B286" s="154" t="s">
        <v>657</v>
      </c>
      <c r="C286" s="155" t="s">
        <v>821</v>
      </c>
      <c r="D286" s="156" t="s">
        <v>231</v>
      </c>
      <c r="E286" s="178">
        <v>2</v>
      </c>
      <c r="F286" s="157">
        <f>G287+G292+G299+G305+G312</f>
        <v>637.0699999999999</v>
      </c>
      <c r="G286" s="244">
        <f>TRUNC(F286*1.2882,2)</f>
        <v>820.67</v>
      </c>
      <c r="H286" s="244">
        <f>TRUNC(F286*E286,2)</f>
        <v>1274.14</v>
      </c>
      <c r="I286" s="244">
        <f>TRUNC(E286*G286,2)</f>
        <v>1641.34</v>
      </c>
      <c r="J286" s="149"/>
      <c r="K286" s="149"/>
    </row>
    <row r="287" spans="1:9" ht="54">
      <c r="A287" s="117" t="s">
        <v>132</v>
      </c>
      <c r="B287" s="118" t="s">
        <v>202</v>
      </c>
      <c r="C287" s="122" t="s">
        <v>992</v>
      </c>
      <c r="D287" s="120" t="s">
        <v>0</v>
      </c>
      <c r="E287" s="172">
        <v>1</v>
      </c>
      <c r="F287" s="123">
        <f>TRUNC(G291,2)</f>
        <v>229.17</v>
      </c>
      <c r="G287" s="242">
        <f>TRUNC(E287*F287,2)</f>
        <v>229.17</v>
      </c>
      <c r="H287" s="128"/>
      <c r="I287" s="128"/>
    </row>
    <row r="288" spans="1:9" ht="18.75">
      <c r="A288" s="33"/>
      <c r="B288" s="64" t="s">
        <v>203</v>
      </c>
      <c r="C288" s="101" t="s">
        <v>895</v>
      </c>
      <c r="D288" s="22" t="s">
        <v>0</v>
      </c>
      <c r="E288" s="167">
        <v>1</v>
      </c>
      <c r="F288" s="61">
        <f>TRUNC(95.24,2)</f>
        <v>95.24</v>
      </c>
      <c r="G288" s="128">
        <f>TRUNC(E288*F288,2)</f>
        <v>95.24</v>
      </c>
      <c r="H288" s="128"/>
      <c r="I288" s="128"/>
    </row>
    <row r="289" spans="1:9" ht="36">
      <c r="A289" s="33"/>
      <c r="B289" s="64" t="s">
        <v>40</v>
      </c>
      <c r="C289" s="101" t="s">
        <v>41</v>
      </c>
      <c r="D289" s="22" t="s">
        <v>7</v>
      </c>
      <c r="E289" s="167">
        <v>4.12</v>
      </c>
      <c r="F289" s="61">
        <f>TRUNC(13.08,2)</f>
        <v>13.08</v>
      </c>
      <c r="G289" s="128">
        <f>TRUNC(E289*F289,2)</f>
        <v>53.88</v>
      </c>
      <c r="H289" s="128"/>
      <c r="I289" s="128"/>
    </row>
    <row r="290" spans="1:9" ht="36">
      <c r="A290" s="33"/>
      <c r="B290" s="64" t="s">
        <v>73</v>
      </c>
      <c r="C290" s="101" t="s">
        <v>395</v>
      </c>
      <c r="D290" s="22" t="s">
        <v>7</v>
      </c>
      <c r="E290" s="167">
        <v>4.12</v>
      </c>
      <c r="F290" s="61">
        <f>TRUNC(19.43,2)</f>
        <v>19.43</v>
      </c>
      <c r="G290" s="128">
        <f>TRUNC(E290*F290,2)</f>
        <v>80.05</v>
      </c>
      <c r="H290" s="128"/>
      <c r="I290" s="128"/>
    </row>
    <row r="291" spans="1:9" ht="18.75">
      <c r="A291" s="33"/>
      <c r="B291" s="64"/>
      <c r="C291" s="101"/>
      <c r="D291" s="22"/>
      <c r="E291" s="167" t="s">
        <v>5</v>
      </c>
      <c r="F291" s="61"/>
      <c r="G291" s="128">
        <f>TRUNC(SUM(G288:G290),2)</f>
        <v>229.17</v>
      </c>
      <c r="H291" s="128"/>
      <c r="I291" s="128"/>
    </row>
    <row r="292" spans="1:9" ht="36">
      <c r="A292" s="117" t="s">
        <v>133</v>
      </c>
      <c r="B292" s="118" t="s">
        <v>204</v>
      </c>
      <c r="C292" s="122" t="s">
        <v>892</v>
      </c>
      <c r="D292" s="120" t="s">
        <v>52</v>
      </c>
      <c r="E292" s="172">
        <v>5.4</v>
      </c>
      <c r="F292" s="121">
        <f>TRUNC(G298,2)</f>
        <v>33.98</v>
      </c>
      <c r="G292" s="243">
        <f aca="true" t="shared" si="13" ref="G292:G297">TRUNC(E292*F292,2)</f>
        <v>183.49</v>
      </c>
      <c r="H292" s="145"/>
      <c r="I292" s="145"/>
    </row>
    <row r="293" spans="1:9" ht="18.75">
      <c r="A293" s="33"/>
      <c r="B293" s="64" t="s">
        <v>205</v>
      </c>
      <c r="C293" s="101" t="s">
        <v>991</v>
      </c>
      <c r="D293" s="22" t="s">
        <v>52</v>
      </c>
      <c r="E293" s="167">
        <v>1.1</v>
      </c>
      <c r="F293" s="24">
        <f>TRUNC(19.04,2)</f>
        <v>19.04</v>
      </c>
      <c r="G293" s="145">
        <f t="shared" si="13"/>
        <v>20.94</v>
      </c>
      <c r="H293" s="145"/>
      <c r="I293" s="145"/>
    </row>
    <row r="294" spans="1:9" ht="36">
      <c r="A294" s="33"/>
      <c r="B294" s="64" t="s">
        <v>54</v>
      </c>
      <c r="C294" s="101" t="s">
        <v>102</v>
      </c>
      <c r="D294" s="22" t="s">
        <v>46</v>
      </c>
      <c r="E294" s="167">
        <v>0.01</v>
      </c>
      <c r="F294" s="24">
        <f>TRUNC(8.55,2)</f>
        <v>8.55</v>
      </c>
      <c r="G294" s="145">
        <f t="shared" si="13"/>
        <v>0.08</v>
      </c>
      <c r="H294" s="145"/>
      <c r="I294" s="145"/>
    </row>
    <row r="295" spans="1:9" ht="36">
      <c r="A295" s="33"/>
      <c r="B295" s="64" t="s">
        <v>40</v>
      </c>
      <c r="C295" s="101" t="s">
        <v>41</v>
      </c>
      <c r="D295" s="22" t="s">
        <v>7</v>
      </c>
      <c r="E295" s="167">
        <v>0.3605</v>
      </c>
      <c r="F295" s="24">
        <f>TRUNC(13.08,2)</f>
        <v>13.08</v>
      </c>
      <c r="G295" s="145">
        <f t="shared" si="13"/>
        <v>4.71</v>
      </c>
      <c r="H295" s="145"/>
      <c r="I295" s="145"/>
    </row>
    <row r="296" spans="1:9" ht="36">
      <c r="A296" s="33"/>
      <c r="B296" s="64" t="s">
        <v>73</v>
      </c>
      <c r="C296" s="101" t="s">
        <v>395</v>
      </c>
      <c r="D296" s="22" t="s">
        <v>7</v>
      </c>
      <c r="E296" s="167">
        <v>0.3605</v>
      </c>
      <c r="F296" s="24">
        <f>TRUNC(19.43,2)</f>
        <v>19.43</v>
      </c>
      <c r="G296" s="145">
        <f t="shared" si="13"/>
        <v>7</v>
      </c>
      <c r="H296" s="145"/>
      <c r="I296" s="145"/>
    </row>
    <row r="297" spans="1:9" ht="18.75">
      <c r="A297" s="33"/>
      <c r="B297" s="64" t="s">
        <v>206</v>
      </c>
      <c r="C297" s="101" t="s">
        <v>419</v>
      </c>
      <c r="D297" s="22" t="s">
        <v>0</v>
      </c>
      <c r="E297" s="167">
        <v>1.23</v>
      </c>
      <c r="F297" s="24">
        <f>TRUNC(1.0204,2)</f>
        <v>1.02</v>
      </c>
      <c r="G297" s="145">
        <f t="shared" si="13"/>
        <v>1.25</v>
      </c>
      <c r="H297" s="145"/>
      <c r="I297" s="145"/>
    </row>
    <row r="298" spans="1:9" ht="18.75">
      <c r="A298" s="33"/>
      <c r="B298" s="64"/>
      <c r="C298" s="101"/>
      <c r="D298" s="22"/>
      <c r="E298" s="167" t="s">
        <v>5</v>
      </c>
      <c r="F298" s="24"/>
      <c r="G298" s="145">
        <f>TRUNC(SUM(G293:G297),2)</f>
        <v>33.98</v>
      </c>
      <c r="H298" s="145"/>
      <c r="I298" s="145"/>
    </row>
    <row r="299" spans="1:9" ht="36">
      <c r="A299" s="117" t="s">
        <v>209</v>
      </c>
      <c r="B299" s="118" t="s">
        <v>207</v>
      </c>
      <c r="C299" s="122" t="s">
        <v>893</v>
      </c>
      <c r="D299" s="120" t="s">
        <v>52</v>
      </c>
      <c r="E299" s="172">
        <v>10.8</v>
      </c>
      <c r="F299" s="121">
        <f>TRUNC(G304,2)</f>
        <v>6.14</v>
      </c>
      <c r="G299" s="243">
        <f>TRUNC(E299*F299,2)</f>
        <v>66.31</v>
      </c>
      <c r="H299" s="145"/>
      <c r="I299" s="145"/>
    </row>
    <row r="300" spans="1:9" ht="18.75">
      <c r="A300" s="33"/>
      <c r="B300" s="64" t="s">
        <v>208</v>
      </c>
      <c r="C300" s="101" t="s">
        <v>894</v>
      </c>
      <c r="D300" s="22" t="s">
        <v>52</v>
      </c>
      <c r="E300" s="167">
        <v>1.1</v>
      </c>
      <c r="F300" s="24">
        <f>TRUNC(3.27,2)</f>
        <v>3.27</v>
      </c>
      <c r="G300" s="145">
        <f>TRUNC(E300*F300,2)</f>
        <v>3.59</v>
      </c>
      <c r="H300" s="145"/>
      <c r="I300" s="145"/>
    </row>
    <row r="301" spans="1:9" ht="36">
      <c r="A301" s="33"/>
      <c r="B301" s="64" t="s">
        <v>54</v>
      </c>
      <c r="C301" s="101" t="s">
        <v>102</v>
      </c>
      <c r="D301" s="22" t="s">
        <v>46</v>
      </c>
      <c r="E301" s="167">
        <v>0.005</v>
      </c>
      <c r="F301" s="24">
        <f>TRUNC(8.55,2)</f>
        <v>8.55</v>
      </c>
      <c r="G301" s="145">
        <f>TRUNC(E301*F301,2)</f>
        <v>0.04</v>
      </c>
      <c r="H301" s="145"/>
      <c r="I301" s="145"/>
    </row>
    <row r="302" spans="1:9" ht="36">
      <c r="A302" s="33"/>
      <c r="B302" s="64" t="s">
        <v>40</v>
      </c>
      <c r="C302" s="101" t="s">
        <v>41</v>
      </c>
      <c r="D302" s="22" t="s">
        <v>7</v>
      </c>
      <c r="E302" s="167">
        <v>0.07725</v>
      </c>
      <c r="F302" s="24">
        <f>TRUNC(13.08,2)</f>
        <v>13.08</v>
      </c>
      <c r="G302" s="145">
        <f>TRUNC(E302*F302,2)</f>
        <v>1.01</v>
      </c>
      <c r="H302" s="145"/>
      <c r="I302" s="145"/>
    </row>
    <row r="303" spans="1:9" ht="36">
      <c r="A303" s="33"/>
      <c r="B303" s="64" t="s">
        <v>73</v>
      </c>
      <c r="C303" s="101" t="s">
        <v>395</v>
      </c>
      <c r="D303" s="22" t="s">
        <v>7</v>
      </c>
      <c r="E303" s="167">
        <v>0.07725</v>
      </c>
      <c r="F303" s="24">
        <f>TRUNC(19.43,2)</f>
        <v>19.43</v>
      </c>
      <c r="G303" s="145">
        <f>TRUNC(E303*F303,2)</f>
        <v>1.5</v>
      </c>
      <c r="H303" s="145"/>
      <c r="I303" s="145"/>
    </row>
    <row r="304" spans="1:9" ht="18.75">
      <c r="A304" s="33"/>
      <c r="B304" s="64"/>
      <c r="C304" s="101"/>
      <c r="D304" s="22"/>
      <c r="E304" s="167" t="s">
        <v>5</v>
      </c>
      <c r="F304" s="24"/>
      <c r="G304" s="145">
        <f>TRUNC(SUM(G300:G303),2)</f>
        <v>6.14</v>
      </c>
      <c r="H304" s="145"/>
      <c r="I304" s="145"/>
    </row>
    <row r="305" spans="1:11" ht="18.75">
      <c r="A305" s="117" t="s">
        <v>597</v>
      </c>
      <c r="B305" s="118" t="s">
        <v>656</v>
      </c>
      <c r="C305" s="119" t="s">
        <v>598</v>
      </c>
      <c r="D305" s="120" t="s">
        <v>155</v>
      </c>
      <c r="E305" s="172">
        <f>0.9*2</f>
        <v>1.8</v>
      </c>
      <c r="F305" s="121">
        <f>G306</f>
        <v>27.45</v>
      </c>
      <c r="G305" s="243">
        <v>49.54</v>
      </c>
      <c r="H305" s="145"/>
      <c r="I305" s="145"/>
      <c r="K305" s="63"/>
    </row>
    <row r="306" spans="1:11" ht="54">
      <c r="A306" s="33"/>
      <c r="B306" s="64" t="s">
        <v>651</v>
      </c>
      <c r="C306" s="104" t="s">
        <v>896</v>
      </c>
      <c r="D306" s="22" t="s">
        <v>52</v>
      </c>
      <c r="E306" s="167">
        <v>1.33</v>
      </c>
      <c r="F306" s="24">
        <f>TRUNC(G311,2)</f>
        <v>20.64</v>
      </c>
      <c r="G306" s="145">
        <f>TRUNC(E306*F306,2)</f>
        <v>27.45</v>
      </c>
      <c r="H306" s="145"/>
      <c r="I306" s="145"/>
      <c r="K306" s="63"/>
    </row>
    <row r="307" spans="1:11" ht="18.75">
      <c r="A307" s="33"/>
      <c r="B307" s="64" t="s">
        <v>652</v>
      </c>
      <c r="C307" s="104" t="s">
        <v>653</v>
      </c>
      <c r="D307" s="22" t="s">
        <v>46</v>
      </c>
      <c r="E307" s="167">
        <v>0.6784999999999999</v>
      </c>
      <c r="F307" s="24">
        <f>TRUNC(4.94,2)</f>
        <v>4.94</v>
      </c>
      <c r="G307" s="145">
        <f>TRUNC(E307*F307,2)</f>
        <v>3.35</v>
      </c>
      <c r="H307" s="145"/>
      <c r="I307" s="145"/>
      <c r="K307" s="63"/>
    </row>
    <row r="308" spans="1:11" ht="18.75">
      <c r="A308" s="33"/>
      <c r="B308" s="64" t="s">
        <v>654</v>
      </c>
      <c r="C308" s="104" t="s">
        <v>655</v>
      </c>
      <c r="D308" s="22" t="s">
        <v>0</v>
      </c>
      <c r="E308" s="167">
        <v>4</v>
      </c>
      <c r="F308" s="24">
        <f>TRUNC(0.1415,2)</f>
        <v>0.14</v>
      </c>
      <c r="G308" s="145">
        <f>TRUNC(E308*F308,2)</f>
        <v>0.56</v>
      </c>
      <c r="H308" s="145"/>
      <c r="I308" s="145"/>
      <c r="K308" s="63"/>
    </row>
    <row r="309" spans="1:11" ht="36">
      <c r="A309" s="33"/>
      <c r="B309" s="64" t="s">
        <v>40</v>
      </c>
      <c r="C309" s="104" t="s">
        <v>41</v>
      </c>
      <c r="D309" s="22" t="s">
        <v>7</v>
      </c>
      <c r="E309" s="167">
        <v>0.515</v>
      </c>
      <c r="F309" s="24">
        <f>TRUNC(13.08,2)</f>
        <v>13.08</v>
      </c>
      <c r="G309" s="145">
        <f>TRUNC(E309*F309,2)</f>
        <v>6.73</v>
      </c>
      <c r="H309" s="145"/>
      <c r="I309" s="145"/>
      <c r="K309" s="63"/>
    </row>
    <row r="310" spans="1:11" ht="36">
      <c r="A310" s="33"/>
      <c r="B310" s="64" t="s">
        <v>154</v>
      </c>
      <c r="C310" s="104" t="s">
        <v>278</v>
      </c>
      <c r="D310" s="22" t="s">
        <v>7</v>
      </c>
      <c r="E310" s="167">
        <v>0.515</v>
      </c>
      <c r="F310" s="24">
        <f>TRUNC(19.43,2)</f>
        <v>19.43</v>
      </c>
      <c r="G310" s="145">
        <f>TRUNC(E310*F310,2)</f>
        <v>10</v>
      </c>
      <c r="H310" s="145"/>
      <c r="I310" s="145"/>
      <c r="K310" s="63"/>
    </row>
    <row r="311" spans="1:11" ht="18.75">
      <c r="A311" s="33"/>
      <c r="B311" s="64"/>
      <c r="C311" s="104"/>
      <c r="D311" s="22"/>
      <c r="E311" s="167" t="s">
        <v>5</v>
      </c>
      <c r="F311" s="24"/>
      <c r="G311" s="145">
        <f>TRUNC(SUM(G307:G310),2)</f>
        <v>20.64</v>
      </c>
      <c r="H311" s="145"/>
      <c r="I311" s="145"/>
      <c r="K311" s="63"/>
    </row>
    <row r="312" spans="1:11" ht="90">
      <c r="A312" s="117" t="s">
        <v>646</v>
      </c>
      <c r="B312" s="118" t="s">
        <v>647</v>
      </c>
      <c r="C312" s="122" t="s">
        <v>648</v>
      </c>
      <c r="D312" s="120" t="s">
        <v>0</v>
      </c>
      <c r="E312" s="172">
        <v>1</v>
      </c>
      <c r="F312" s="121">
        <f>TRUNC(108.56,2)</f>
        <v>108.56</v>
      </c>
      <c r="G312" s="243">
        <f>TRUNC(E312*F312,2)</f>
        <v>108.56</v>
      </c>
      <c r="H312" s="145"/>
      <c r="I312" s="145"/>
      <c r="J312" s="55"/>
      <c r="K312" s="63"/>
    </row>
    <row r="313" spans="1:11" ht="36">
      <c r="A313" s="33"/>
      <c r="B313" s="64" t="s">
        <v>649</v>
      </c>
      <c r="C313" s="101" t="s">
        <v>650</v>
      </c>
      <c r="D313" s="22" t="s">
        <v>0</v>
      </c>
      <c r="E313" s="167">
        <v>1</v>
      </c>
      <c r="F313" s="24">
        <f>TRUNC(97.55,2)</f>
        <v>97.55</v>
      </c>
      <c r="G313" s="145">
        <f>TRUNC(E313*F313,2)</f>
        <v>97.55</v>
      </c>
      <c r="H313" s="145"/>
      <c r="I313" s="145"/>
      <c r="J313" s="55"/>
      <c r="K313" s="63"/>
    </row>
    <row r="314" spans="1:11" ht="18.75">
      <c r="A314" s="33"/>
      <c r="B314" s="64" t="s">
        <v>642</v>
      </c>
      <c r="C314" s="101" t="s">
        <v>643</v>
      </c>
      <c r="D314" s="22" t="s">
        <v>0</v>
      </c>
      <c r="E314" s="167">
        <v>3</v>
      </c>
      <c r="F314" s="24">
        <f>TRUNC(3.67,2)</f>
        <v>3.67</v>
      </c>
      <c r="G314" s="145">
        <f>TRUNC(E314*F314,2)</f>
        <v>11.01</v>
      </c>
      <c r="H314" s="145"/>
      <c r="I314" s="145"/>
      <c r="J314" s="55"/>
      <c r="K314" s="63"/>
    </row>
    <row r="315" spans="1:11" ht="18.75">
      <c r="A315" s="33"/>
      <c r="B315" s="64"/>
      <c r="C315" s="101"/>
      <c r="D315" s="22"/>
      <c r="E315" s="167" t="s">
        <v>5</v>
      </c>
      <c r="F315" s="24"/>
      <c r="G315" s="145">
        <f>TRUNC(SUM(G313:G314),2)</f>
        <v>108.56</v>
      </c>
      <c r="H315" s="145"/>
      <c r="I315" s="145"/>
      <c r="J315" s="55"/>
      <c r="K315" s="63"/>
    </row>
    <row r="316" spans="1:11" s="150" customFormat="1" ht="54">
      <c r="A316" s="153" t="s">
        <v>118</v>
      </c>
      <c r="B316" s="154" t="s">
        <v>602</v>
      </c>
      <c r="C316" s="155" t="s">
        <v>834</v>
      </c>
      <c r="D316" s="156" t="s">
        <v>231</v>
      </c>
      <c r="E316" s="178">
        <v>3</v>
      </c>
      <c r="F316" s="157">
        <f>TRUNC((G317+G322+G329+G335),2)</f>
        <v>503.75</v>
      </c>
      <c r="G316" s="244">
        <f>TRUNC(F316*1.2882,2)</f>
        <v>648.93</v>
      </c>
      <c r="H316" s="244">
        <f>TRUNC(F316*E316,2)</f>
        <v>1511.25</v>
      </c>
      <c r="I316" s="244">
        <f>TRUNC(E316*G316,2)</f>
        <v>1946.79</v>
      </c>
      <c r="J316" s="149"/>
      <c r="K316" s="149"/>
    </row>
    <row r="317" spans="1:11" s="72" customFormat="1" ht="54">
      <c r="A317" s="33" t="s">
        <v>132</v>
      </c>
      <c r="B317" s="64" t="s">
        <v>599</v>
      </c>
      <c r="C317" s="104" t="s">
        <v>993</v>
      </c>
      <c r="D317" s="22" t="s">
        <v>0</v>
      </c>
      <c r="E317" s="167">
        <v>1</v>
      </c>
      <c r="F317" s="61">
        <f>TRUNC(G321,2)</f>
        <v>206.38</v>
      </c>
      <c r="G317" s="239">
        <f>TRUNC(E317*F317,2)</f>
        <v>206.38</v>
      </c>
      <c r="H317" s="128"/>
      <c r="I317" s="128"/>
      <c r="J317" s="55"/>
      <c r="K317" s="55"/>
    </row>
    <row r="318" spans="1:11" s="72" customFormat="1" ht="18.75">
      <c r="A318" s="33"/>
      <c r="B318" s="64" t="s">
        <v>600</v>
      </c>
      <c r="C318" s="104" t="s">
        <v>601</v>
      </c>
      <c r="D318" s="22" t="s">
        <v>0</v>
      </c>
      <c r="E318" s="167">
        <v>1</v>
      </c>
      <c r="F318" s="61">
        <f>TRUNC(72.45,2)</f>
        <v>72.45</v>
      </c>
      <c r="G318" s="128">
        <f>TRUNC(E318*F318,2)</f>
        <v>72.45</v>
      </c>
      <c r="H318" s="128"/>
      <c r="I318" s="128"/>
      <c r="J318" s="55"/>
      <c r="K318" s="55"/>
    </row>
    <row r="319" spans="1:11" s="72" customFormat="1" ht="36">
      <c r="A319" s="33"/>
      <c r="B319" s="64" t="s">
        <v>40</v>
      </c>
      <c r="C319" s="104" t="s">
        <v>41</v>
      </c>
      <c r="D319" s="22" t="s">
        <v>7</v>
      </c>
      <c r="E319" s="167">
        <v>4.12</v>
      </c>
      <c r="F319" s="61">
        <f>TRUNC(13.08,2)</f>
        <v>13.08</v>
      </c>
      <c r="G319" s="128">
        <f>TRUNC(E319*F319,2)</f>
        <v>53.88</v>
      </c>
      <c r="H319" s="128"/>
      <c r="I319" s="128"/>
      <c r="J319" s="55"/>
      <c r="K319" s="55"/>
    </row>
    <row r="320" spans="1:11" s="72" customFormat="1" ht="36">
      <c r="A320" s="33"/>
      <c r="B320" s="64" t="s">
        <v>73</v>
      </c>
      <c r="C320" s="104" t="s">
        <v>395</v>
      </c>
      <c r="D320" s="22" t="s">
        <v>7</v>
      </c>
      <c r="E320" s="167">
        <v>4.12</v>
      </c>
      <c r="F320" s="61">
        <f>TRUNC(19.43,2)</f>
        <v>19.43</v>
      </c>
      <c r="G320" s="128">
        <f>TRUNC(E320*F320,2)</f>
        <v>80.05</v>
      </c>
      <c r="H320" s="128"/>
      <c r="I320" s="128"/>
      <c r="J320" s="55"/>
      <c r="K320" s="55"/>
    </row>
    <row r="321" spans="1:11" s="72" customFormat="1" ht="18.75">
      <c r="A321" s="33"/>
      <c r="B321" s="64"/>
      <c r="C321" s="104"/>
      <c r="D321" s="22"/>
      <c r="E321" s="167" t="s">
        <v>5</v>
      </c>
      <c r="F321" s="61"/>
      <c r="G321" s="128">
        <f>TRUNC(SUM(G318:G320),2)</f>
        <v>206.38</v>
      </c>
      <c r="H321" s="128"/>
      <c r="I321" s="128"/>
      <c r="J321" s="55"/>
      <c r="K321" s="55"/>
    </row>
    <row r="322" spans="1:11" s="72" customFormat="1" ht="36">
      <c r="A322" s="33" t="s">
        <v>133</v>
      </c>
      <c r="B322" s="64" t="s">
        <v>204</v>
      </c>
      <c r="C322" s="104" t="s">
        <v>892</v>
      </c>
      <c r="D322" s="22" t="s">
        <v>52</v>
      </c>
      <c r="E322" s="167">
        <v>5.3</v>
      </c>
      <c r="F322" s="24">
        <f>TRUNC(G328,2)</f>
        <v>33.98</v>
      </c>
      <c r="G322" s="145">
        <f aca="true" t="shared" si="14" ref="G322:G327">TRUNC(E322*F322,2)</f>
        <v>180.09</v>
      </c>
      <c r="H322" s="145"/>
      <c r="I322" s="145"/>
      <c r="J322" s="55"/>
      <c r="K322" s="55"/>
    </row>
    <row r="323" spans="1:11" s="72" customFormat="1" ht="18.75">
      <c r="A323" s="33"/>
      <c r="B323" s="64" t="s">
        <v>205</v>
      </c>
      <c r="C323" s="104" t="s">
        <v>991</v>
      </c>
      <c r="D323" s="22" t="s">
        <v>52</v>
      </c>
      <c r="E323" s="167">
        <v>1.1</v>
      </c>
      <c r="F323" s="24">
        <f>TRUNC(19.04,2)</f>
        <v>19.04</v>
      </c>
      <c r="G323" s="145">
        <f t="shared" si="14"/>
        <v>20.94</v>
      </c>
      <c r="H323" s="145"/>
      <c r="I323" s="145"/>
      <c r="J323" s="55"/>
      <c r="K323" s="55"/>
    </row>
    <row r="324" spans="1:11" s="72" customFormat="1" ht="36">
      <c r="A324" s="33"/>
      <c r="B324" s="64" t="s">
        <v>54</v>
      </c>
      <c r="C324" s="104" t="s">
        <v>102</v>
      </c>
      <c r="D324" s="22" t="s">
        <v>46</v>
      </c>
      <c r="E324" s="167">
        <v>0.01</v>
      </c>
      <c r="F324" s="24">
        <f>TRUNC(8.55,2)</f>
        <v>8.55</v>
      </c>
      <c r="G324" s="145">
        <f t="shared" si="14"/>
        <v>0.08</v>
      </c>
      <c r="H324" s="145"/>
      <c r="I324" s="145"/>
      <c r="J324" s="55"/>
      <c r="K324" s="55"/>
    </row>
    <row r="325" spans="1:11" s="72" customFormat="1" ht="36">
      <c r="A325" s="33"/>
      <c r="B325" s="64" t="s">
        <v>40</v>
      </c>
      <c r="C325" s="104" t="s">
        <v>41</v>
      </c>
      <c r="D325" s="22" t="s">
        <v>7</v>
      </c>
      <c r="E325" s="167">
        <v>0.3605</v>
      </c>
      <c r="F325" s="24">
        <f>TRUNC(13.08,2)</f>
        <v>13.08</v>
      </c>
      <c r="G325" s="145">
        <f t="shared" si="14"/>
        <v>4.71</v>
      </c>
      <c r="H325" s="145"/>
      <c r="I325" s="145"/>
      <c r="J325" s="55"/>
      <c r="K325" s="55"/>
    </row>
    <row r="326" spans="1:11" s="72" customFormat="1" ht="36">
      <c r="A326" s="33"/>
      <c r="B326" s="64" t="s">
        <v>73</v>
      </c>
      <c r="C326" s="104" t="s">
        <v>395</v>
      </c>
      <c r="D326" s="22" t="s">
        <v>7</v>
      </c>
      <c r="E326" s="167">
        <v>0.3605</v>
      </c>
      <c r="F326" s="24">
        <f>TRUNC(19.43,2)</f>
        <v>19.43</v>
      </c>
      <c r="G326" s="145">
        <f t="shared" si="14"/>
        <v>7</v>
      </c>
      <c r="H326" s="145"/>
      <c r="I326" s="145"/>
      <c r="J326" s="55"/>
      <c r="K326" s="55"/>
    </row>
    <row r="327" spans="1:11" s="72" customFormat="1" ht="18.75">
      <c r="A327" s="33"/>
      <c r="B327" s="64" t="s">
        <v>206</v>
      </c>
      <c r="C327" s="104" t="s">
        <v>419</v>
      </c>
      <c r="D327" s="22" t="s">
        <v>0</v>
      </c>
      <c r="E327" s="167">
        <v>1.23</v>
      </c>
      <c r="F327" s="24">
        <f>TRUNC(1.0204,2)</f>
        <v>1.02</v>
      </c>
      <c r="G327" s="145">
        <f t="shared" si="14"/>
        <v>1.25</v>
      </c>
      <c r="H327" s="145"/>
      <c r="I327" s="145"/>
      <c r="J327" s="55"/>
      <c r="K327" s="55"/>
    </row>
    <row r="328" spans="1:11" s="72" customFormat="1" ht="18.75">
      <c r="A328" s="33"/>
      <c r="B328" s="64"/>
      <c r="C328" s="104"/>
      <c r="D328" s="22"/>
      <c r="E328" s="167" t="s">
        <v>5</v>
      </c>
      <c r="F328" s="24"/>
      <c r="G328" s="145">
        <f>TRUNC(SUM(G323:G327),2)</f>
        <v>33.98</v>
      </c>
      <c r="H328" s="145"/>
      <c r="I328" s="145"/>
      <c r="J328" s="55"/>
      <c r="K328" s="55"/>
    </row>
    <row r="329" spans="1:9" ht="36">
      <c r="A329" s="33" t="s">
        <v>209</v>
      </c>
      <c r="B329" s="64" t="s">
        <v>207</v>
      </c>
      <c r="C329" s="104" t="s">
        <v>893</v>
      </c>
      <c r="D329" s="22" t="s">
        <v>52</v>
      </c>
      <c r="E329" s="167">
        <v>10.6</v>
      </c>
      <c r="F329" s="24">
        <f>TRUNC(G334,2)</f>
        <v>6.14</v>
      </c>
      <c r="G329" s="145">
        <f>TRUNC(E329*F329,2)</f>
        <v>65.08</v>
      </c>
      <c r="H329" s="145"/>
      <c r="I329" s="145"/>
    </row>
    <row r="330" spans="1:9" ht="18.75">
      <c r="A330" s="33"/>
      <c r="B330" s="64" t="s">
        <v>208</v>
      </c>
      <c r="C330" s="104" t="s">
        <v>894</v>
      </c>
      <c r="D330" s="22" t="s">
        <v>52</v>
      </c>
      <c r="E330" s="167">
        <v>1.1</v>
      </c>
      <c r="F330" s="24">
        <f>TRUNC(3.27,2)</f>
        <v>3.27</v>
      </c>
      <c r="G330" s="145">
        <f>TRUNC(E330*F330,2)</f>
        <v>3.59</v>
      </c>
      <c r="H330" s="145"/>
      <c r="I330" s="145"/>
    </row>
    <row r="331" spans="1:9" ht="36">
      <c r="A331" s="33"/>
      <c r="B331" s="64" t="s">
        <v>54</v>
      </c>
      <c r="C331" s="104" t="s">
        <v>102</v>
      </c>
      <c r="D331" s="22" t="s">
        <v>46</v>
      </c>
      <c r="E331" s="167">
        <v>0.005</v>
      </c>
      <c r="F331" s="24">
        <f>TRUNC(8.55,2)</f>
        <v>8.55</v>
      </c>
      <c r="G331" s="145">
        <f>TRUNC(E331*F331,2)</f>
        <v>0.04</v>
      </c>
      <c r="H331" s="145"/>
      <c r="I331" s="145"/>
    </row>
    <row r="332" spans="1:9" ht="36">
      <c r="A332" s="33"/>
      <c r="B332" s="64" t="s">
        <v>40</v>
      </c>
      <c r="C332" s="104" t="s">
        <v>41</v>
      </c>
      <c r="D332" s="22" t="s">
        <v>7</v>
      </c>
      <c r="E332" s="167">
        <v>0.07725</v>
      </c>
      <c r="F332" s="24">
        <f>TRUNC(13.08,2)</f>
        <v>13.08</v>
      </c>
      <c r="G332" s="145">
        <f>TRUNC(E332*F332,2)</f>
        <v>1.01</v>
      </c>
      <c r="H332" s="145"/>
      <c r="I332" s="145"/>
    </row>
    <row r="333" spans="1:9" ht="36">
      <c r="A333" s="33"/>
      <c r="B333" s="64" t="s">
        <v>73</v>
      </c>
      <c r="C333" s="104" t="s">
        <v>395</v>
      </c>
      <c r="D333" s="22" t="s">
        <v>7</v>
      </c>
      <c r="E333" s="167">
        <v>0.07725</v>
      </c>
      <c r="F333" s="24">
        <f>TRUNC(19.43,2)</f>
        <v>19.43</v>
      </c>
      <c r="G333" s="145">
        <f>TRUNC(E333*F333,2)</f>
        <v>1.5</v>
      </c>
      <c r="H333" s="145"/>
      <c r="I333" s="145"/>
    </row>
    <row r="334" spans="1:9" ht="18.75">
      <c r="A334" s="33"/>
      <c r="B334" s="64"/>
      <c r="C334" s="104"/>
      <c r="D334" s="22"/>
      <c r="E334" s="167" t="s">
        <v>5</v>
      </c>
      <c r="F334" s="24"/>
      <c r="G334" s="145">
        <f>TRUNC(SUM(G330:G333),2)</f>
        <v>6.14</v>
      </c>
      <c r="H334" s="145"/>
      <c r="I334" s="145"/>
    </row>
    <row r="335" spans="1:11" ht="90">
      <c r="A335" s="33" t="s">
        <v>637</v>
      </c>
      <c r="B335" s="64" t="s">
        <v>638</v>
      </c>
      <c r="C335" s="104" t="s">
        <v>639</v>
      </c>
      <c r="D335" s="22" t="s">
        <v>0</v>
      </c>
      <c r="E335" s="167">
        <v>1</v>
      </c>
      <c r="F335" s="24">
        <f>TRUNC(52.2,2)</f>
        <v>52.2</v>
      </c>
      <c r="G335" s="128">
        <f>TRUNC(E335*F335,2)</f>
        <v>52.2</v>
      </c>
      <c r="H335" s="128"/>
      <c r="I335" s="128"/>
      <c r="K335" s="60"/>
    </row>
    <row r="336" spans="1:11" ht="36">
      <c r="A336" s="33"/>
      <c r="B336" s="64" t="s">
        <v>640</v>
      </c>
      <c r="C336" s="104" t="s">
        <v>641</v>
      </c>
      <c r="D336" s="22" t="s">
        <v>0</v>
      </c>
      <c r="E336" s="167">
        <v>1</v>
      </c>
      <c r="F336" s="24">
        <f>TRUNC(41.19,2)</f>
        <v>41.19</v>
      </c>
      <c r="G336" s="128">
        <f>TRUNC(E336*F336,2)</f>
        <v>41.19</v>
      </c>
      <c r="H336" s="128"/>
      <c r="I336" s="128"/>
      <c r="K336" s="60"/>
    </row>
    <row r="337" spans="1:11" ht="18.75">
      <c r="A337" s="33"/>
      <c r="B337" s="64" t="s">
        <v>642</v>
      </c>
      <c r="C337" s="104" t="s">
        <v>643</v>
      </c>
      <c r="D337" s="22" t="s">
        <v>0</v>
      </c>
      <c r="E337" s="167">
        <v>3</v>
      </c>
      <c r="F337" s="24">
        <f>TRUNC(3.67,2)</f>
        <v>3.67</v>
      </c>
      <c r="G337" s="128">
        <f>TRUNC(E337*F337,2)</f>
        <v>11.01</v>
      </c>
      <c r="H337" s="128"/>
      <c r="I337" s="128"/>
      <c r="K337" s="60"/>
    </row>
    <row r="338" spans="1:11" ht="18.75">
      <c r="A338" s="33"/>
      <c r="B338" s="64"/>
      <c r="C338" s="104"/>
      <c r="D338" s="22"/>
      <c r="E338" s="167" t="s">
        <v>5</v>
      </c>
      <c r="F338" s="24"/>
      <c r="G338" s="128">
        <f>TRUNC(SUM(G336:G337),2)</f>
        <v>52.2</v>
      </c>
      <c r="H338" s="128"/>
      <c r="I338" s="128"/>
      <c r="K338" s="60"/>
    </row>
    <row r="339" spans="1:11" s="150" customFormat="1" ht="72">
      <c r="A339" s="153" t="s">
        <v>414</v>
      </c>
      <c r="B339" s="154" t="s">
        <v>658</v>
      </c>
      <c r="C339" s="155" t="s">
        <v>897</v>
      </c>
      <c r="D339" s="156" t="s">
        <v>44</v>
      </c>
      <c r="E339" s="178">
        <v>1</v>
      </c>
      <c r="F339" s="157">
        <f>TRUNC(G340,2)</f>
        <v>293.42</v>
      </c>
      <c r="G339" s="244">
        <f>TRUNC(F339*1.2882,2)</f>
        <v>377.98</v>
      </c>
      <c r="H339" s="244">
        <f>TRUNC(F339*E339,2)</f>
        <v>293.42</v>
      </c>
      <c r="I339" s="244">
        <f>TRUNC(E339*G339,2)</f>
        <v>377.98</v>
      </c>
      <c r="J339" s="149"/>
      <c r="K339" s="149"/>
    </row>
    <row r="340" spans="1:11" s="183" customFormat="1" ht="72">
      <c r="A340" s="261"/>
      <c r="B340" s="291" t="s">
        <v>658</v>
      </c>
      <c r="C340" s="263" t="s">
        <v>897</v>
      </c>
      <c r="D340" s="193" t="s">
        <v>44</v>
      </c>
      <c r="E340" s="146">
        <v>0.64</v>
      </c>
      <c r="F340" s="195">
        <f>TRUNC(G345,2)</f>
        <v>458.47</v>
      </c>
      <c r="G340" s="264">
        <f>TRUNC(E340*F340,2)</f>
        <v>293.42</v>
      </c>
      <c r="H340" s="265"/>
      <c r="I340" s="265"/>
      <c r="J340" s="197"/>
      <c r="K340" s="197"/>
    </row>
    <row r="341" spans="1:11" s="111" customFormat="1" ht="18.75">
      <c r="A341" s="158"/>
      <c r="B341" s="159" t="s">
        <v>659</v>
      </c>
      <c r="C341" s="160" t="s">
        <v>660</v>
      </c>
      <c r="D341" s="161" t="s">
        <v>46</v>
      </c>
      <c r="E341" s="163">
        <v>14.374999999999998</v>
      </c>
      <c r="F341" s="162">
        <v>5.8483</v>
      </c>
      <c r="G341" s="260">
        <f>TRUNC(E341*F341,2)</f>
        <v>84.06</v>
      </c>
      <c r="H341" s="259"/>
      <c r="I341" s="259"/>
      <c r="J341" s="110"/>
      <c r="K341" s="110"/>
    </row>
    <row r="342" spans="1:11" s="111" customFormat="1" ht="36">
      <c r="A342" s="158"/>
      <c r="B342" s="159" t="s">
        <v>661</v>
      </c>
      <c r="C342" s="160" t="s">
        <v>662</v>
      </c>
      <c r="D342" s="161" t="s">
        <v>46</v>
      </c>
      <c r="E342" s="163">
        <v>17.479999999999997</v>
      </c>
      <c r="F342" s="162">
        <f>TRUNC(4.85,2)</f>
        <v>4.85</v>
      </c>
      <c r="G342" s="260">
        <f>TRUNC(E342*F342,2)</f>
        <v>84.77</v>
      </c>
      <c r="H342" s="259"/>
      <c r="I342" s="259"/>
      <c r="J342" s="110"/>
      <c r="K342" s="110"/>
    </row>
    <row r="343" spans="1:11" s="111" customFormat="1" ht="36">
      <c r="A343" s="158"/>
      <c r="B343" s="159" t="s">
        <v>40</v>
      </c>
      <c r="C343" s="160" t="s">
        <v>41</v>
      </c>
      <c r="D343" s="161" t="s">
        <v>7</v>
      </c>
      <c r="E343" s="163">
        <v>8.909500000000001</v>
      </c>
      <c r="F343" s="162">
        <f>TRUNC(13.08,2)</f>
        <v>13.08</v>
      </c>
      <c r="G343" s="260">
        <f>TRUNC(E343*F343,2)</f>
        <v>116.53</v>
      </c>
      <c r="H343" s="259"/>
      <c r="I343" s="259"/>
      <c r="J343" s="110"/>
      <c r="K343" s="110"/>
    </row>
    <row r="344" spans="1:11" s="111" customFormat="1" ht="36">
      <c r="A344" s="158"/>
      <c r="B344" s="159" t="s">
        <v>154</v>
      </c>
      <c r="C344" s="160" t="s">
        <v>278</v>
      </c>
      <c r="D344" s="161" t="s">
        <v>7</v>
      </c>
      <c r="E344" s="163">
        <v>8.909500000000001</v>
      </c>
      <c r="F344" s="162">
        <f>TRUNC(19.43,2)</f>
        <v>19.43</v>
      </c>
      <c r="G344" s="260">
        <f>TRUNC(E344*F344,2)</f>
        <v>173.11</v>
      </c>
      <c r="H344" s="259"/>
      <c r="I344" s="259"/>
      <c r="J344" s="110"/>
      <c r="K344" s="110"/>
    </row>
    <row r="345" spans="1:11" s="111" customFormat="1" ht="18.75">
      <c r="A345" s="158"/>
      <c r="B345" s="159"/>
      <c r="C345" s="160"/>
      <c r="D345" s="161"/>
      <c r="E345" s="163" t="s">
        <v>5</v>
      </c>
      <c r="F345" s="162"/>
      <c r="G345" s="260">
        <f>TRUNC(SUM(G341:G344),2)</f>
        <v>458.47</v>
      </c>
      <c r="H345" s="259"/>
      <c r="I345" s="259"/>
      <c r="J345" s="110"/>
      <c r="K345" s="110"/>
    </row>
    <row r="346" spans="1:11" s="150" customFormat="1" ht="90">
      <c r="A346" s="153" t="s">
        <v>415</v>
      </c>
      <c r="B346" s="154" t="s">
        <v>638</v>
      </c>
      <c r="C346" s="155" t="s">
        <v>822</v>
      </c>
      <c r="D346" s="156" t="s">
        <v>231</v>
      </c>
      <c r="E346" s="178">
        <v>2</v>
      </c>
      <c r="F346" s="157">
        <f>TRUNC((G347),2)</f>
        <v>52.2</v>
      </c>
      <c r="G346" s="244">
        <f>TRUNC(F346*1.2882,2)</f>
        <v>67.24</v>
      </c>
      <c r="H346" s="244">
        <f>TRUNC(F346*E346,2)</f>
        <v>104.4</v>
      </c>
      <c r="I346" s="244">
        <f>TRUNC(E346*G346,2)</f>
        <v>134.48</v>
      </c>
      <c r="J346" s="149"/>
      <c r="K346" s="149"/>
    </row>
    <row r="347" spans="1:11" ht="90">
      <c r="A347" s="33" t="s">
        <v>637</v>
      </c>
      <c r="B347" s="64" t="s">
        <v>638</v>
      </c>
      <c r="C347" s="104" t="s">
        <v>639</v>
      </c>
      <c r="D347" s="22" t="s">
        <v>0</v>
      </c>
      <c r="E347" s="167">
        <v>1</v>
      </c>
      <c r="F347" s="24">
        <f>TRUNC(52.2,2)</f>
        <v>52.2</v>
      </c>
      <c r="G347" s="239">
        <f>TRUNC(E347*F347,2)</f>
        <v>52.2</v>
      </c>
      <c r="H347" s="128"/>
      <c r="I347" s="128"/>
      <c r="K347" s="60"/>
    </row>
    <row r="348" spans="1:11" ht="36">
      <c r="A348" s="33"/>
      <c r="B348" s="64" t="s">
        <v>640</v>
      </c>
      <c r="C348" s="104" t="s">
        <v>641</v>
      </c>
      <c r="D348" s="22" t="s">
        <v>0</v>
      </c>
      <c r="E348" s="167">
        <v>1</v>
      </c>
      <c r="F348" s="24">
        <f>TRUNC(41.19,2)</f>
        <v>41.19</v>
      </c>
      <c r="G348" s="128">
        <f>TRUNC(E348*F348,2)</f>
        <v>41.19</v>
      </c>
      <c r="H348" s="128"/>
      <c r="I348" s="128"/>
      <c r="K348" s="60"/>
    </row>
    <row r="349" spans="1:11" ht="18.75">
      <c r="A349" s="33"/>
      <c r="B349" s="64" t="s">
        <v>642</v>
      </c>
      <c r="C349" s="104" t="s">
        <v>643</v>
      </c>
      <c r="D349" s="22" t="s">
        <v>0</v>
      </c>
      <c r="E349" s="167">
        <v>3</v>
      </c>
      <c r="F349" s="24">
        <f>TRUNC(3.67,2)</f>
        <v>3.67</v>
      </c>
      <c r="G349" s="128">
        <f>TRUNC(E349*F349,2)</f>
        <v>11.01</v>
      </c>
      <c r="H349" s="128"/>
      <c r="I349" s="128"/>
      <c r="K349" s="60"/>
    </row>
    <row r="350" spans="1:11" ht="18.75">
      <c r="A350" s="33"/>
      <c r="B350" s="64"/>
      <c r="C350" s="104"/>
      <c r="D350" s="22"/>
      <c r="E350" s="167" t="s">
        <v>5</v>
      </c>
      <c r="F350" s="24"/>
      <c r="G350" s="128">
        <f>TRUNC(SUM(G348:G349),2)</f>
        <v>52.2</v>
      </c>
      <c r="H350" s="128"/>
      <c r="I350" s="128"/>
      <c r="K350" s="60"/>
    </row>
    <row r="351" spans="1:9" ht="18.75">
      <c r="A351" s="29" t="s">
        <v>130</v>
      </c>
      <c r="B351" s="293"/>
      <c r="C351" s="294"/>
      <c r="D351" s="295"/>
      <c r="E351" s="298" t="s">
        <v>60</v>
      </c>
      <c r="F351" s="299"/>
      <c r="G351" s="300"/>
      <c r="H351" s="38">
        <f>H210+H232+H244+H253+H276+H286+H316+H339+H346</f>
        <v>11952.81</v>
      </c>
      <c r="I351" s="38">
        <f>I210+I232+I244+I253+I276+I286+I316+I339+I346</f>
        <v>15397.509999999998</v>
      </c>
    </row>
    <row r="352" spans="1:11" s="152" customFormat="1" ht="18.75">
      <c r="A352" s="273" t="s">
        <v>80</v>
      </c>
      <c r="B352" s="282"/>
      <c r="C352" s="283" t="s">
        <v>823</v>
      </c>
      <c r="D352" s="276"/>
      <c r="E352" s="277"/>
      <c r="F352" s="279"/>
      <c r="G352" s="278"/>
      <c r="H352" s="278"/>
      <c r="I352" s="272"/>
      <c r="J352" s="281"/>
      <c r="K352" s="151"/>
    </row>
    <row r="353" spans="1:11" s="150" customFormat="1" ht="36">
      <c r="A353" s="153" t="s">
        <v>81</v>
      </c>
      <c r="B353" s="154" t="s">
        <v>690</v>
      </c>
      <c r="C353" s="155" t="s">
        <v>691</v>
      </c>
      <c r="D353" s="156" t="s">
        <v>0</v>
      </c>
      <c r="E353" s="178">
        <v>1</v>
      </c>
      <c r="F353" s="157">
        <f>TRUNC(F354,2)</f>
        <v>2311.41</v>
      </c>
      <c r="G353" s="244">
        <f>TRUNC(F353*1.2882,2)</f>
        <v>2977.55</v>
      </c>
      <c r="H353" s="244">
        <f>TRUNC(F353*E353,2)</f>
        <v>2311.41</v>
      </c>
      <c r="I353" s="244">
        <f>TRUNC(E353*G353,2)</f>
        <v>2977.55</v>
      </c>
      <c r="J353" s="149"/>
      <c r="K353" s="149"/>
    </row>
    <row r="354" spans="1:10" ht="90">
      <c r="A354" s="31"/>
      <c r="B354" s="79" t="s">
        <v>428</v>
      </c>
      <c r="C354" s="80" t="s">
        <v>429</v>
      </c>
      <c r="D354" s="18" t="s">
        <v>0</v>
      </c>
      <c r="E354" s="169">
        <v>1</v>
      </c>
      <c r="F354" s="19">
        <f>TRUNC(G363,2)</f>
        <v>2311.41</v>
      </c>
      <c r="G354" s="239">
        <f aca="true" t="shared" si="15" ref="G354:G362">TRUNC(E354*F354,2)</f>
        <v>2311.41</v>
      </c>
      <c r="H354" s="128"/>
      <c r="I354" s="128"/>
      <c r="J354" s="55"/>
    </row>
    <row r="355" spans="1:10" ht="18.75">
      <c r="A355" s="33"/>
      <c r="B355" s="64" t="s">
        <v>295</v>
      </c>
      <c r="C355" s="78" t="s">
        <v>296</v>
      </c>
      <c r="D355" s="22" t="s">
        <v>0</v>
      </c>
      <c r="E355" s="167">
        <v>1</v>
      </c>
      <c r="F355" s="24">
        <f>TRUNC(29.77,2)</f>
        <v>29.77</v>
      </c>
      <c r="G355" s="128">
        <f t="shared" si="15"/>
        <v>29.77</v>
      </c>
      <c r="H355" s="128"/>
      <c r="I355" s="128"/>
      <c r="J355" s="55"/>
    </row>
    <row r="356" spans="1:10" ht="36">
      <c r="A356" s="33"/>
      <c r="B356" s="64" t="s">
        <v>898</v>
      </c>
      <c r="C356" s="78" t="s">
        <v>899</v>
      </c>
      <c r="D356" s="22" t="s">
        <v>0</v>
      </c>
      <c r="E356" s="167">
        <v>0</v>
      </c>
      <c r="F356" s="24">
        <f>TRUNC(1742,2)</f>
        <v>1742</v>
      </c>
      <c r="G356" s="128">
        <f t="shared" si="15"/>
        <v>0</v>
      </c>
      <c r="H356" s="128"/>
      <c r="I356" s="128"/>
      <c r="J356" s="55"/>
    </row>
    <row r="357" spans="1:11" ht="36">
      <c r="A357" s="67"/>
      <c r="B357" s="106" t="s">
        <v>689</v>
      </c>
      <c r="C357" s="107" t="s">
        <v>686</v>
      </c>
      <c r="D357" s="68" t="s">
        <v>0</v>
      </c>
      <c r="E357" s="170">
        <v>1</v>
      </c>
      <c r="F357" s="61">
        <v>2179.23</v>
      </c>
      <c r="G357" s="145">
        <f t="shared" si="15"/>
        <v>2179.23</v>
      </c>
      <c r="H357" s="145"/>
      <c r="I357" s="145"/>
      <c r="J357" s="96"/>
      <c r="K357" s="97"/>
    </row>
    <row r="358" spans="1:10" ht="18.75">
      <c r="A358" s="33"/>
      <c r="B358" s="64" t="s">
        <v>297</v>
      </c>
      <c r="C358" s="78" t="s">
        <v>298</v>
      </c>
      <c r="D358" s="22" t="s">
        <v>0</v>
      </c>
      <c r="E358" s="167">
        <v>1</v>
      </c>
      <c r="F358" s="24">
        <f>TRUNC(70.35,2)</f>
        <v>70.35</v>
      </c>
      <c r="G358" s="128">
        <f t="shared" si="15"/>
        <v>70.35</v>
      </c>
      <c r="H358" s="128"/>
      <c r="I358" s="128"/>
      <c r="J358" s="55"/>
    </row>
    <row r="359" spans="1:10" ht="36">
      <c r="A359" s="33"/>
      <c r="B359" s="64" t="s">
        <v>40</v>
      </c>
      <c r="C359" s="78" t="s">
        <v>41</v>
      </c>
      <c r="D359" s="22" t="s">
        <v>7</v>
      </c>
      <c r="E359" s="167">
        <v>1.03</v>
      </c>
      <c r="F359" s="24">
        <f>TRUNC(13.08,2)</f>
        <v>13.08</v>
      </c>
      <c r="G359" s="128">
        <f t="shared" si="15"/>
        <v>13.47</v>
      </c>
      <c r="H359" s="128"/>
      <c r="I359" s="128"/>
      <c r="J359" s="55"/>
    </row>
    <row r="360" spans="1:10" ht="18.75">
      <c r="A360" s="33"/>
      <c r="B360" s="64" t="s">
        <v>43</v>
      </c>
      <c r="C360" s="78" t="s">
        <v>100</v>
      </c>
      <c r="D360" s="22" t="s">
        <v>7</v>
      </c>
      <c r="E360" s="167">
        <v>1.03</v>
      </c>
      <c r="F360" s="24">
        <f>TRUNC(18.05,2)</f>
        <v>18.05</v>
      </c>
      <c r="G360" s="128">
        <f t="shared" si="15"/>
        <v>18.59</v>
      </c>
      <c r="H360" s="128"/>
      <c r="I360" s="128"/>
      <c r="J360" s="55"/>
    </row>
    <row r="361" spans="1:10" ht="18.75">
      <c r="A361" s="33"/>
      <c r="B361" s="64" t="s">
        <v>129</v>
      </c>
      <c r="C361" s="78" t="s">
        <v>430</v>
      </c>
      <c r="D361" s="22" t="s">
        <v>44</v>
      </c>
      <c r="E361" s="167">
        <v>0</v>
      </c>
      <c r="F361" s="24">
        <f>TRUNC(44.6325,2)</f>
        <v>44.63</v>
      </c>
      <c r="G361" s="128">
        <f t="shared" si="15"/>
        <v>0</v>
      </c>
      <c r="H361" s="128"/>
      <c r="I361" s="128"/>
      <c r="J361" s="55"/>
    </row>
    <row r="362" spans="1:10" ht="18.75">
      <c r="A362" s="33"/>
      <c r="B362" s="64" t="s">
        <v>173</v>
      </c>
      <c r="C362" s="78" t="s">
        <v>431</v>
      </c>
      <c r="D362" s="22" t="s">
        <v>39</v>
      </c>
      <c r="E362" s="167">
        <v>0</v>
      </c>
      <c r="F362" s="24">
        <f>TRUNC(1424.8968,2)</f>
        <v>1424.89</v>
      </c>
      <c r="G362" s="128">
        <f t="shared" si="15"/>
        <v>0</v>
      </c>
      <c r="H362" s="128"/>
      <c r="I362" s="128"/>
      <c r="J362" s="55"/>
    </row>
    <row r="363" spans="1:10" ht="18.75">
      <c r="A363" s="33"/>
      <c r="B363" s="64"/>
      <c r="C363" s="78"/>
      <c r="D363" s="22"/>
      <c r="E363" s="167" t="s">
        <v>5</v>
      </c>
      <c r="F363" s="24"/>
      <c r="G363" s="128">
        <f>TRUNC(SUM(G355:G362),2)</f>
        <v>2311.41</v>
      </c>
      <c r="H363" s="128"/>
      <c r="I363" s="128"/>
      <c r="J363" s="55"/>
    </row>
    <row r="364" spans="1:9" ht="18.75">
      <c r="A364" s="29"/>
      <c r="B364" s="124" t="s">
        <v>684</v>
      </c>
      <c r="C364" s="94"/>
      <c r="D364" s="30"/>
      <c r="E364" s="171"/>
      <c r="F364" s="115"/>
      <c r="G364" s="116"/>
      <c r="H364" s="128"/>
      <c r="I364" s="128"/>
    </row>
    <row r="365" spans="1:9" ht="36">
      <c r="A365" s="29"/>
      <c r="B365" s="124" t="s">
        <v>685</v>
      </c>
      <c r="C365" s="94" t="s">
        <v>686</v>
      </c>
      <c r="D365" s="30" t="s">
        <v>0</v>
      </c>
      <c r="E365" s="171">
        <v>1676.33</v>
      </c>
      <c r="F365" s="115"/>
      <c r="G365" s="116"/>
      <c r="H365" s="128"/>
      <c r="I365" s="128"/>
    </row>
    <row r="366" spans="1:9" ht="36">
      <c r="A366" s="29"/>
      <c r="B366" s="124" t="s">
        <v>687</v>
      </c>
      <c r="C366" s="94" t="s">
        <v>686</v>
      </c>
      <c r="D366" s="30" t="s">
        <v>0</v>
      </c>
      <c r="E366" s="171">
        <v>2530.55</v>
      </c>
      <c r="F366" s="115"/>
      <c r="G366" s="116"/>
      <c r="H366" s="128"/>
      <c r="I366" s="128"/>
    </row>
    <row r="367" spans="1:9" ht="36">
      <c r="A367" s="29"/>
      <c r="B367" s="124" t="s">
        <v>688</v>
      </c>
      <c r="C367" s="94" t="s">
        <v>686</v>
      </c>
      <c r="D367" s="30" t="s">
        <v>0</v>
      </c>
      <c r="E367" s="171">
        <v>2179.23</v>
      </c>
      <c r="F367" s="115"/>
      <c r="G367" s="116"/>
      <c r="H367" s="128"/>
      <c r="I367" s="128"/>
    </row>
    <row r="368" spans="1:9" ht="18.75">
      <c r="A368" s="29"/>
      <c r="B368" s="124"/>
      <c r="C368" s="125" t="s">
        <v>288</v>
      </c>
      <c r="D368" s="28" t="s">
        <v>0</v>
      </c>
      <c r="E368" s="168">
        <f>MEDIAN(E365,E366,E367)</f>
        <v>2179.23</v>
      </c>
      <c r="F368" s="115"/>
      <c r="G368" s="116"/>
      <c r="H368" s="128"/>
      <c r="I368" s="128"/>
    </row>
    <row r="369" spans="1:9" ht="18.75">
      <c r="A369" s="33"/>
      <c r="B369" s="100"/>
      <c r="C369" s="103"/>
      <c r="D369" s="22"/>
      <c r="E369" s="167"/>
      <c r="F369" s="24"/>
      <c r="G369" s="25"/>
      <c r="H369" s="128"/>
      <c r="I369" s="128"/>
    </row>
    <row r="370" spans="1:11" s="190" customFormat="1" ht="36">
      <c r="A370" s="198" t="s">
        <v>82</v>
      </c>
      <c r="B370" s="199" t="s">
        <v>901</v>
      </c>
      <c r="C370" s="200" t="s">
        <v>696</v>
      </c>
      <c r="D370" s="147" t="s">
        <v>0</v>
      </c>
      <c r="E370" s="201">
        <v>1</v>
      </c>
      <c r="F370" s="202">
        <f>TRUNC(F371,2)</f>
        <v>996.39</v>
      </c>
      <c r="G370" s="244">
        <f>TRUNC(F370*1.2882,2)</f>
        <v>1283.54</v>
      </c>
      <c r="H370" s="244">
        <f>TRUNC(F370*E370,2)</f>
        <v>996.39</v>
      </c>
      <c r="I370" s="244">
        <f>TRUNC(E370*G370,2)</f>
        <v>1283.54</v>
      </c>
      <c r="J370" s="203"/>
      <c r="K370" s="189"/>
    </row>
    <row r="371" spans="1:9" ht="54">
      <c r="A371" s="31"/>
      <c r="B371" s="79" t="s">
        <v>294</v>
      </c>
      <c r="C371" s="80" t="s">
        <v>900</v>
      </c>
      <c r="D371" s="18" t="s">
        <v>0</v>
      </c>
      <c r="E371" s="169">
        <v>1</v>
      </c>
      <c r="F371" s="19">
        <f>TRUNC(G377,2)</f>
        <v>996.39</v>
      </c>
      <c r="G371" s="239">
        <f aca="true" t="shared" si="16" ref="G371:G376">TRUNC(E371*F371,2)</f>
        <v>996.39</v>
      </c>
      <c r="H371" s="128"/>
      <c r="I371" s="128"/>
    </row>
    <row r="372" spans="1:9" ht="18.75">
      <c r="A372" s="33"/>
      <c r="B372" s="64" t="s">
        <v>295</v>
      </c>
      <c r="C372" s="78" t="s">
        <v>296</v>
      </c>
      <c r="D372" s="22" t="s">
        <v>0</v>
      </c>
      <c r="E372" s="167">
        <v>1</v>
      </c>
      <c r="F372" s="24">
        <f>TRUNC(29.77,2)</f>
        <v>29.77</v>
      </c>
      <c r="G372" s="128">
        <f t="shared" si="16"/>
        <v>29.77</v>
      </c>
      <c r="H372" s="128"/>
      <c r="I372" s="128"/>
    </row>
    <row r="373" spans="1:9" ht="18.75">
      <c r="A373" s="33"/>
      <c r="B373" s="106" t="s">
        <v>689</v>
      </c>
      <c r="C373" s="107" t="s">
        <v>693</v>
      </c>
      <c r="D373" s="68" t="s">
        <v>0</v>
      </c>
      <c r="E373" s="170">
        <v>1</v>
      </c>
      <c r="F373" s="61">
        <f>E382</f>
        <v>873.83</v>
      </c>
      <c r="G373" s="128">
        <f t="shared" si="16"/>
        <v>873.83</v>
      </c>
      <c r="H373" s="128"/>
      <c r="I373" s="128"/>
    </row>
    <row r="374" spans="1:9" ht="18.75">
      <c r="A374" s="33"/>
      <c r="B374" s="64" t="s">
        <v>297</v>
      </c>
      <c r="C374" s="78" t="s">
        <v>298</v>
      </c>
      <c r="D374" s="22" t="s">
        <v>0</v>
      </c>
      <c r="E374" s="167">
        <v>1</v>
      </c>
      <c r="F374" s="24">
        <f>TRUNC(70.35,2)</f>
        <v>70.35</v>
      </c>
      <c r="G374" s="128">
        <f t="shared" si="16"/>
        <v>70.35</v>
      </c>
      <c r="H374" s="128"/>
      <c r="I374" s="128"/>
    </row>
    <row r="375" spans="1:9" ht="36">
      <c r="A375" s="33"/>
      <c r="B375" s="64" t="s">
        <v>40</v>
      </c>
      <c r="C375" s="78" t="s">
        <v>41</v>
      </c>
      <c r="D375" s="22" t="s">
        <v>7</v>
      </c>
      <c r="E375" s="167">
        <v>0.721</v>
      </c>
      <c r="F375" s="24">
        <f>TRUNC(13.08,2)</f>
        <v>13.08</v>
      </c>
      <c r="G375" s="128">
        <f t="shared" si="16"/>
        <v>9.43</v>
      </c>
      <c r="H375" s="128"/>
      <c r="I375" s="128"/>
    </row>
    <row r="376" spans="1:9" ht="18.75">
      <c r="A376" s="33"/>
      <c r="B376" s="64" t="s">
        <v>43</v>
      </c>
      <c r="C376" s="78" t="s">
        <v>100</v>
      </c>
      <c r="D376" s="22" t="s">
        <v>7</v>
      </c>
      <c r="E376" s="167">
        <v>0.721</v>
      </c>
      <c r="F376" s="24">
        <f>TRUNC(18.05,2)</f>
        <v>18.05</v>
      </c>
      <c r="G376" s="128">
        <f t="shared" si="16"/>
        <v>13.01</v>
      </c>
      <c r="H376" s="128"/>
      <c r="I376" s="128"/>
    </row>
    <row r="377" spans="1:9" ht="18.75">
      <c r="A377" s="33"/>
      <c r="B377" s="64"/>
      <c r="C377" s="78"/>
      <c r="D377" s="22"/>
      <c r="E377" s="167" t="s">
        <v>5</v>
      </c>
      <c r="F377" s="24"/>
      <c r="G377" s="128">
        <f>TRUNC(SUM(G372:G376),2)</f>
        <v>996.39</v>
      </c>
      <c r="H377" s="128"/>
      <c r="I377" s="128"/>
    </row>
    <row r="378" spans="1:9" ht="18.75">
      <c r="A378" s="29"/>
      <c r="B378" s="124" t="s">
        <v>684</v>
      </c>
      <c r="C378" s="94"/>
      <c r="D378" s="30"/>
      <c r="E378" s="171"/>
      <c r="F378" s="115"/>
      <c r="G378" s="116"/>
      <c r="H378" s="128"/>
      <c r="I378" s="128"/>
    </row>
    <row r="379" spans="1:9" ht="18.75">
      <c r="A379" s="29"/>
      <c r="B379" s="124" t="s">
        <v>685</v>
      </c>
      <c r="C379" s="94" t="s">
        <v>693</v>
      </c>
      <c r="D379" s="30" t="s">
        <v>0</v>
      </c>
      <c r="E379" s="171">
        <f>350+500/3</f>
        <v>516.6666666666666</v>
      </c>
      <c r="F379" s="115"/>
      <c r="G379" s="116"/>
      <c r="H379" s="128"/>
      <c r="I379" s="128"/>
    </row>
    <row r="380" spans="1:9" ht="18.75">
      <c r="A380" s="29"/>
      <c r="B380" s="124" t="s">
        <v>687</v>
      </c>
      <c r="C380" s="94" t="s">
        <v>694</v>
      </c>
      <c r="D380" s="30" t="s">
        <v>0</v>
      </c>
      <c r="E380" s="171">
        <v>1155</v>
      </c>
      <c r="F380" s="115"/>
      <c r="G380" s="116"/>
      <c r="H380" s="128"/>
      <c r="I380" s="128"/>
    </row>
    <row r="381" spans="1:9" ht="18.75">
      <c r="A381" s="29"/>
      <c r="B381" s="124" t="s">
        <v>688</v>
      </c>
      <c r="C381" s="94" t="s">
        <v>695</v>
      </c>
      <c r="D381" s="30" t="s">
        <v>0</v>
      </c>
      <c r="E381" s="171">
        <v>873.83</v>
      </c>
      <c r="F381" s="115"/>
      <c r="G381" s="116"/>
      <c r="H381" s="128"/>
      <c r="I381" s="128"/>
    </row>
    <row r="382" spans="1:9" ht="18.75">
      <c r="A382" s="29"/>
      <c r="B382" s="124"/>
      <c r="C382" s="125" t="s">
        <v>288</v>
      </c>
      <c r="D382" s="28" t="s">
        <v>0</v>
      </c>
      <c r="E382" s="168">
        <f>MEDIAN(E379,E380,E381)</f>
        <v>873.83</v>
      </c>
      <c r="F382" s="115"/>
      <c r="G382" s="116"/>
      <c r="H382" s="128"/>
      <c r="I382" s="128"/>
    </row>
    <row r="383" spans="1:9" ht="18.75">
      <c r="A383" s="33"/>
      <c r="B383" s="100"/>
      <c r="C383" s="103"/>
      <c r="D383" s="22"/>
      <c r="E383" s="167"/>
      <c r="F383" s="24"/>
      <c r="G383" s="128"/>
      <c r="H383" s="240"/>
      <c r="I383" s="128"/>
    </row>
    <row r="384" spans="1:11" s="190" customFormat="1" ht="36">
      <c r="A384" s="198" t="s">
        <v>99</v>
      </c>
      <c r="B384" s="199" t="s">
        <v>902</v>
      </c>
      <c r="C384" s="200" t="s">
        <v>692</v>
      </c>
      <c r="D384" s="147" t="s">
        <v>0</v>
      </c>
      <c r="E384" s="201">
        <v>1</v>
      </c>
      <c r="F384" s="202">
        <f>TRUNC(F385,2)</f>
        <v>2557.51</v>
      </c>
      <c r="G384" s="244">
        <f>TRUNC(F384*1.2882,2)</f>
        <v>3294.58</v>
      </c>
      <c r="H384" s="244">
        <f>TRUNC(F384*E384,2)</f>
        <v>2557.51</v>
      </c>
      <c r="I384" s="244">
        <f>TRUNC(E384*G384,2)</f>
        <v>3294.58</v>
      </c>
      <c r="J384" s="203"/>
      <c r="K384" s="189"/>
    </row>
    <row r="385" spans="1:9" ht="90">
      <c r="A385" s="31"/>
      <c r="B385" s="79" t="s">
        <v>428</v>
      </c>
      <c r="C385" s="80" t="s">
        <v>429</v>
      </c>
      <c r="D385" s="18" t="s">
        <v>0</v>
      </c>
      <c r="E385" s="169">
        <v>1</v>
      </c>
      <c r="F385" s="19">
        <f>TRUNC(G393,2)</f>
        <v>2557.51</v>
      </c>
      <c r="G385" s="239">
        <f aca="true" t="shared" si="17" ref="G385:G392">TRUNC(E385*F385,2)</f>
        <v>2557.51</v>
      </c>
      <c r="H385" s="128"/>
      <c r="I385" s="128"/>
    </row>
    <row r="386" spans="1:9" ht="18.75">
      <c r="A386" s="33"/>
      <c r="B386" s="64" t="s">
        <v>295</v>
      </c>
      <c r="C386" s="78" t="s">
        <v>296</v>
      </c>
      <c r="D386" s="22" t="s">
        <v>0</v>
      </c>
      <c r="E386" s="167">
        <v>1</v>
      </c>
      <c r="F386" s="24">
        <f>TRUNC(29.77,2)</f>
        <v>29.77</v>
      </c>
      <c r="G386" s="128">
        <f t="shared" si="17"/>
        <v>29.77</v>
      </c>
      <c r="H386" s="128"/>
      <c r="I386" s="128"/>
    </row>
    <row r="387" spans="1:11" ht="36">
      <c r="A387" s="67"/>
      <c r="B387" s="106" t="s">
        <v>689</v>
      </c>
      <c r="C387" s="107" t="s">
        <v>686</v>
      </c>
      <c r="D387" s="68" t="s">
        <v>0</v>
      </c>
      <c r="E387" s="170">
        <v>1</v>
      </c>
      <c r="F387" s="61">
        <f>E398</f>
        <v>2425.33</v>
      </c>
      <c r="G387" s="145">
        <f t="shared" si="17"/>
        <v>2425.33</v>
      </c>
      <c r="H387" s="145"/>
      <c r="I387" s="145"/>
      <c r="J387" s="97"/>
      <c r="K387" s="97"/>
    </row>
    <row r="388" spans="1:9" ht="18.75">
      <c r="A388" s="33"/>
      <c r="B388" s="64" t="s">
        <v>297</v>
      </c>
      <c r="C388" s="78" t="s">
        <v>298</v>
      </c>
      <c r="D388" s="22" t="s">
        <v>0</v>
      </c>
      <c r="E388" s="167">
        <v>1</v>
      </c>
      <c r="F388" s="24">
        <v>70.35</v>
      </c>
      <c r="G388" s="128">
        <f t="shared" si="17"/>
        <v>70.35</v>
      </c>
      <c r="H388" s="128"/>
      <c r="I388" s="128"/>
    </row>
    <row r="389" spans="1:9" ht="36">
      <c r="A389" s="33"/>
      <c r="B389" s="64" t="s">
        <v>40</v>
      </c>
      <c r="C389" s="78" t="s">
        <v>41</v>
      </c>
      <c r="D389" s="22" t="s">
        <v>7</v>
      </c>
      <c r="E389" s="167">
        <v>1.03</v>
      </c>
      <c r="F389" s="24">
        <v>13.08</v>
      </c>
      <c r="G389" s="128">
        <f t="shared" si="17"/>
        <v>13.47</v>
      </c>
      <c r="H389" s="128"/>
      <c r="I389" s="128"/>
    </row>
    <row r="390" spans="1:9" ht="18.75">
      <c r="A390" s="33"/>
      <c r="B390" s="64" t="s">
        <v>43</v>
      </c>
      <c r="C390" s="78" t="s">
        <v>100</v>
      </c>
      <c r="D390" s="22" t="s">
        <v>7</v>
      </c>
      <c r="E390" s="167">
        <v>1.03</v>
      </c>
      <c r="F390" s="24">
        <v>18.05</v>
      </c>
      <c r="G390" s="128">
        <f t="shared" si="17"/>
        <v>18.59</v>
      </c>
      <c r="H390" s="128"/>
      <c r="I390" s="128"/>
    </row>
    <row r="391" spans="1:9" ht="18.75">
      <c r="A391" s="33"/>
      <c r="B391" s="64" t="s">
        <v>129</v>
      </c>
      <c r="C391" s="78" t="s">
        <v>430</v>
      </c>
      <c r="D391" s="22" t="s">
        <v>44</v>
      </c>
      <c r="E391" s="167">
        <v>0</v>
      </c>
      <c r="F391" s="24">
        <f>TRUNC(43.7997,2)</f>
        <v>43.79</v>
      </c>
      <c r="G391" s="128">
        <f t="shared" si="17"/>
        <v>0</v>
      </c>
      <c r="H391" s="128"/>
      <c r="I391" s="128"/>
    </row>
    <row r="392" spans="1:9" ht="18.75">
      <c r="A392" s="33"/>
      <c r="B392" s="64" t="s">
        <v>173</v>
      </c>
      <c r="C392" s="78" t="s">
        <v>431</v>
      </c>
      <c r="D392" s="22" t="s">
        <v>39</v>
      </c>
      <c r="E392" s="167">
        <v>0</v>
      </c>
      <c r="F392" s="24">
        <f>TRUNC(1382.3966,2)</f>
        <v>1382.39</v>
      </c>
      <c r="G392" s="128">
        <f t="shared" si="17"/>
        <v>0</v>
      </c>
      <c r="H392" s="128"/>
      <c r="I392" s="128"/>
    </row>
    <row r="393" spans="1:9" ht="18.75">
      <c r="A393" s="33"/>
      <c r="B393" s="64"/>
      <c r="C393" s="78"/>
      <c r="D393" s="22"/>
      <c r="E393" s="167" t="s">
        <v>5</v>
      </c>
      <c r="F393" s="24"/>
      <c r="G393" s="240">
        <f>TRUNC(SUM(G386:G392),2)</f>
        <v>2557.51</v>
      </c>
      <c r="H393" s="128"/>
      <c r="I393" s="128"/>
    </row>
    <row r="394" spans="1:9" ht="18.75">
      <c r="A394" s="29"/>
      <c r="B394" s="124" t="s">
        <v>684</v>
      </c>
      <c r="C394" s="94"/>
      <c r="D394" s="30"/>
      <c r="E394" s="171"/>
      <c r="F394" s="115"/>
      <c r="G394" s="116"/>
      <c r="H394" s="128"/>
      <c r="I394" s="128"/>
    </row>
    <row r="395" spans="1:9" ht="36">
      <c r="A395" s="29"/>
      <c r="B395" s="124" t="s">
        <v>685</v>
      </c>
      <c r="C395" s="94" t="s">
        <v>686</v>
      </c>
      <c r="D395" s="30" t="s">
        <v>0</v>
      </c>
      <c r="E395" s="171">
        <f>1510+500/3</f>
        <v>1676.6666666666667</v>
      </c>
      <c r="F395" s="115"/>
      <c r="G395" s="116"/>
      <c r="H395" s="128"/>
      <c r="I395" s="128"/>
    </row>
    <row r="396" spans="1:9" ht="36">
      <c r="A396" s="29"/>
      <c r="B396" s="124" t="s">
        <v>687</v>
      </c>
      <c r="C396" s="94" t="s">
        <v>686</v>
      </c>
      <c r="D396" s="30" t="s">
        <v>0</v>
      </c>
      <c r="E396" s="171">
        <v>2625</v>
      </c>
      <c r="F396" s="115"/>
      <c r="G396" s="116"/>
      <c r="H396" s="128"/>
      <c r="I396" s="128"/>
    </row>
    <row r="397" spans="1:9" ht="36">
      <c r="A397" s="29"/>
      <c r="B397" s="124" t="s">
        <v>688</v>
      </c>
      <c r="C397" s="94" t="s">
        <v>686</v>
      </c>
      <c r="D397" s="30" t="s">
        <v>0</v>
      </c>
      <c r="E397" s="171">
        <v>2425.33</v>
      </c>
      <c r="F397" s="115"/>
      <c r="G397" s="116"/>
      <c r="H397" s="128"/>
      <c r="I397" s="128"/>
    </row>
    <row r="398" spans="1:9" ht="18.75">
      <c r="A398" s="29"/>
      <c r="B398" s="124"/>
      <c r="C398" s="125" t="s">
        <v>288</v>
      </c>
      <c r="D398" s="28" t="s">
        <v>0</v>
      </c>
      <c r="E398" s="168">
        <f>MEDIAN(E395,E396,E397)</f>
        <v>2425.33</v>
      </c>
      <c r="F398" s="115"/>
      <c r="G398" s="116"/>
      <c r="H398" s="128"/>
      <c r="I398" s="128"/>
    </row>
    <row r="399" spans="1:9" ht="18.75">
      <c r="A399" s="33"/>
      <c r="B399" s="100"/>
      <c r="C399" s="103"/>
      <c r="D399" s="22"/>
      <c r="E399" s="167"/>
      <c r="F399" s="24"/>
      <c r="G399" s="242"/>
      <c r="H399" s="128"/>
      <c r="I399" s="128"/>
    </row>
    <row r="400" spans="1:11" s="150" customFormat="1" ht="54">
      <c r="A400" s="204" t="s">
        <v>676</v>
      </c>
      <c r="B400" s="205" t="s">
        <v>727</v>
      </c>
      <c r="C400" s="206" t="s">
        <v>733</v>
      </c>
      <c r="D400" s="207" t="s">
        <v>231</v>
      </c>
      <c r="E400" s="208">
        <v>2</v>
      </c>
      <c r="F400" s="209">
        <f>TRUNC(F401,2)</f>
        <v>442.54</v>
      </c>
      <c r="G400" s="244">
        <f>TRUNC(F400*1.2882,2)</f>
        <v>570.08</v>
      </c>
      <c r="H400" s="244">
        <f>TRUNC(F400*E400,2)</f>
        <v>885.08</v>
      </c>
      <c r="I400" s="244">
        <f>TRUNC(E400*G400,2)</f>
        <v>1140.16</v>
      </c>
      <c r="J400" s="210"/>
      <c r="K400" s="149"/>
    </row>
    <row r="401" spans="1:10" ht="72">
      <c r="A401" s="31"/>
      <c r="B401" s="79" t="s">
        <v>727</v>
      </c>
      <c r="C401" s="80" t="s">
        <v>728</v>
      </c>
      <c r="D401" s="18" t="s">
        <v>0</v>
      </c>
      <c r="E401" s="169">
        <v>1</v>
      </c>
      <c r="F401" s="19">
        <f>TRUNC(442.54,2)</f>
        <v>442.54</v>
      </c>
      <c r="G401" s="239">
        <f aca="true" t="shared" si="18" ref="G401:G406">TRUNC(E401*F401,2)</f>
        <v>442.54</v>
      </c>
      <c r="H401" s="128"/>
      <c r="I401" s="128"/>
      <c r="J401" s="55"/>
    </row>
    <row r="402" spans="1:10" ht="36">
      <c r="A402" s="33"/>
      <c r="B402" s="64" t="s">
        <v>903</v>
      </c>
      <c r="C402" s="78" t="s">
        <v>904</v>
      </c>
      <c r="D402" s="22" t="s">
        <v>0</v>
      </c>
      <c r="E402" s="167">
        <v>1</v>
      </c>
      <c r="F402" s="24">
        <f>TRUNC(322.21,2)</f>
        <v>322.21</v>
      </c>
      <c r="G402" s="128">
        <f t="shared" si="18"/>
        <v>322.21</v>
      </c>
      <c r="H402" s="128"/>
      <c r="I402" s="128"/>
      <c r="J402" s="55"/>
    </row>
    <row r="403" spans="1:10" ht="36">
      <c r="A403" s="33"/>
      <c r="B403" s="64" t="s">
        <v>729</v>
      </c>
      <c r="C403" s="78" t="s">
        <v>730</v>
      </c>
      <c r="D403" s="22" t="s">
        <v>0</v>
      </c>
      <c r="E403" s="167">
        <v>1</v>
      </c>
      <c r="F403" s="24">
        <f>TRUNC(94.4,2)</f>
        <v>94.4</v>
      </c>
      <c r="G403" s="128">
        <f t="shared" si="18"/>
        <v>94.4</v>
      </c>
      <c r="H403" s="128"/>
      <c r="I403" s="128"/>
      <c r="J403" s="55"/>
    </row>
    <row r="404" spans="1:10" ht="18.75">
      <c r="A404" s="33"/>
      <c r="B404" s="64" t="s">
        <v>731</v>
      </c>
      <c r="C404" s="78" t="s">
        <v>732</v>
      </c>
      <c r="D404" s="22" t="s">
        <v>0</v>
      </c>
      <c r="E404" s="167">
        <v>1</v>
      </c>
      <c r="F404" s="24">
        <f>TRUNC(6,2)</f>
        <v>6</v>
      </c>
      <c r="G404" s="128">
        <f t="shared" si="18"/>
        <v>6</v>
      </c>
      <c r="H404" s="128"/>
      <c r="I404" s="128"/>
      <c r="J404" s="55"/>
    </row>
    <row r="405" spans="1:10" ht="18.75">
      <c r="A405" s="33"/>
      <c r="B405" s="64" t="s">
        <v>152</v>
      </c>
      <c r="C405" s="78" t="s">
        <v>290</v>
      </c>
      <c r="D405" s="22" t="s">
        <v>0</v>
      </c>
      <c r="E405" s="167">
        <v>1</v>
      </c>
      <c r="F405" s="24">
        <f>TRUNC(2.02,2)</f>
        <v>2.02</v>
      </c>
      <c r="G405" s="128">
        <f t="shared" si="18"/>
        <v>2.02</v>
      </c>
      <c r="H405" s="128"/>
      <c r="I405" s="128"/>
      <c r="J405" s="55"/>
    </row>
    <row r="406" spans="1:10" ht="18.75">
      <c r="A406" s="33"/>
      <c r="B406" s="64" t="s">
        <v>291</v>
      </c>
      <c r="C406" s="78" t="s">
        <v>292</v>
      </c>
      <c r="D406" s="22" t="s">
        <v>0</v>
      </c>
      <c r="E406" s="167">
        <v>1</v>
      </c>
      <c r="F406" s="24">
        <f>TRUNC(17.91,2)</f>
        <v>17.91</v>
      </c>
      <c r="G406" s="128">
        <f t="shared" si="18"/>
        <v>17.91</v>
      </c>
      <c r="H406" s="128"/>
      <c r="I406" s="128"/>
      <c r="J406" s="55"/>
    </row>
    <row r="407" spans="1:10" ht="18.75">
      <c r="A407" s="33"/>
      <c r="B407" s="64"/>
      <c r="C407" s="78"/>
      <c r="D407" s="22"/>
      <c r="E407" s="167" t="s">
        <v>5</v>
      </c>
      <c r="F407" s="24"/>
      <c r="G407" s="128">
        <f>TRUNC(SUM(G402:G406),2)</f>
        <v>442.54</v>
      </c>
      <c r="H407" s="128"/>
      <c r="I407" s="128"/>
      <c r="J407" s="55"/>
    </row>
    <row r="408" spans="1:11" s="150" customFormat="1" ht="90">
      <c r="A408" s="204" t="s">
        <v>677</v>
      </c>
      <c r="B408" s="205" t="s">
        <v>721</v>
      </c>
      <c r="C408" s="206" t="s">
        <v>722</v>
      </c>
      <c r="D408" s="207" t="s">
        <v>0</v>
      </c>
      <c r="E408" s="208">
        <v>2</v>
      </c>
      <c r="F408" s="209">
        <f>TRUNC((F409+F414),2)</f>
        <v>688.12</v>
      </c>
      <c r="G408" s="244">
        <f>TRUNC(F408*1.2882,2)</f>
        <v>886.43</v>
      </c>
      <c r="H408" s="244">
        <f>TRUNC(F408*E408,2)</f>
        <v>1376.24</v>
      </c>
      <c r="I408" s="244">
        <f>TRUNC(E408*G408,2)</f>
        <v>1772.86</v>
      </c>
      <c r="J408" s="210"/>
      <c r="K408" s="149"/>
    </row>
    <row r="409" spans="1:11" s="72" customFormat="1" ht="54">
      <c r="A409" s="31"/>
      <c r="B409" s="79" t="s">
        <v>697</v>
      </c>
      <c r="C409" s="80" t="s">
        <v>698</v>
      </c>
      <c r="D409" s="18" t="s">
        <v>0</v>
      </c>
      <c r="E409" s="169">
        <v>1</v>
      </c>
      <c r="F409" s="19">
        <f>TRUNC(G413,2)</f>
        <v>449.61</v>
      </c>
      <c r="G409" s="239">
        <f>TRUNC(E409*F409,2)</f>
        <v>449.61</v>
      </c>
      <c r="H409" s="128"/>
      <c r="I409" s="128"/>
      <c r="J409" s="55"/>
      <c r="K409" s="55"/>
    </row>
    <row r="410" spans="1:11" s="74" customFormat="1" ht="36">
      <c r="A410" s="67"/>
      <c r="B410" s="106" t="s">
        <v>994</v>
      </c>
      <c r="C410" s="107" t="s">
        <v>703</v>
      </c>
      <c r="D410" s="68" t="s">
        <v>0</v>
      </c>
      <c r="E410" s="170">
        <v>1</v>
      </c>
      <c r="F410" s="61">
        <v>437.59</v>
      </c>
      <c r="G410" s="145">
        <f>TRUNC(E410*F410,2)</f>
        <v>437.59</v>
      </c>
      <c r="H410" s="145"/>
      <c r="I410" s="145"/>
      <c r="J410" s="69"/>
      <c r="K410" s="69"/>
    </row>
    <row r="411" spans="1:11" s="72" customFormat="1" ht="18.75">
      <c r="A411" s="33"/>
      <c r="B411" s="64" t="s">
        <v>699</v>
      </c>
      <c r="C411" s="78" t="s">
        <v>700</v>
      </c>
      <c r="D411" s="22" t="s">
        <v>0</v>
      </c>
      <c r="E411" s="167">
        <v>1</v>
      </c>
      <c r="F411" s="24">
        <f>TRUNC(1.22,2)</f>
        <v>1.22</v>
      </c>
      <c r="G411" s="128">
        <f>TRUNC(E411*F411,2)</f>
        <v>1.22</v>
      </c>
      <c r="H411" s="128"/>
      <c r="I411" s="128"/>
      <c r="J411" s="55"/>
      <c r="K411" s="55"/>
    </row>
    <row r="412" spans="1:11" s="72" customFormat="1" ht="18.75">
      <c r="A412" s="33"/>
      <c r="B412" s="64" t="s">
        <v>701</v>
      </c>
      <c r="C412" s="78" t="s">
        <v>702</v>
      </c>
      <c r="D412" s="22" t="s">
        <v>0</v>
      </c>
      <c r="E412" s="167">
        <v>1</v>
      </c>
      <c r="F412" s="24">
        <f>TRUNC(10.8,2)</f>
        <v>10.8</v>
      </c>
      <c r="G412" s="128">
        <f>TRUNC(E412*F412,2)</f>
        <v>10.8</v>
      </c>
      <c r="H412" s="128"/>
      <c r="I412" s="128"/>
      <c r="J412" s="55"/>
      <c r="K412" s="55"/>
    </row>
    <row r="413" spans="1:11" s="72" customFormat="1" ht="18.75">
      <c r="A413" s="33"/>
      <c r="B413" s="64"/>
      <c r="C413" s="78"/>
      <c r="D413" s="22"/>
      <c r="E413" s="167" t="s">
        <v>5</v>
      </c>
      <c r="F413" s="24"/>
      <c r="G413" s="128">
        <f>TRUNC(SUM(G410:G412),2)</f>
        <v>449.61</v>
      </c>
      <c r="H413" s="128"/>
      <c r="I413" s="128"/>
      <c r="J413" s="55"/>
      <c r="K413" s="55"/>
    </row>
    <row r="414" spans="1:11" s="72" customFormat="1" ht="90">
      <c r="A414" s="33"/>
      <c r="B414" s="64" t="s">
        <v>704</v>
      </c>
      <c r="C414" s="78" t="s">
        <v>705</v>
      </c>
      <c r="D414" s="22" t="s">
        <v>0</v>
      </c>
      <c r="E414" s="167">
        <v>1</v>
      </c>
      <c r="F414" s="24">
        <f>TRUNC(G429,2)</f>
        <v>238.51</v>
      </c>
      <c r="G414" s="128">
        <f aca="true" t="shared" si="19" ref="G414:G428">TRUNC(E414*F414,2)</f>
        <v>238.51</v>
      </c>
      <c r="H414" s="128"/>
      <c r="I414" s="128"/>
      <c r="J414" s="55"/>
      <c r="K414" s="55"/>
    </row>
    <row r="415" spans="1:11" s="72" customFormat="1" ht="18.75">
      <c r="A415" s="33"/>
      <c r="B415" s="64" t="s">
        <v>706</v>
      </c>
      <c r="C415" s="78" t="s">
        <v>707</v>
      </c>
      <c r="D415" s="22" t="s">
        <v>0</v>
      </c>
      <c r="E415" s="167">
        <v>1</v>
      </c>
      <c r="F415" s="24">
        <f>TRUNC(3.5907,2)</f>
        <v>3.59</v>
      </c>
      <c r="G415" s="128">
        <f t="shared" si="19"/>
        <v>3.59</v>
      </c>
      <c r="H415" s="128"/>
      <c r="I415" s="128"/>
      <c r="J415" s="55"/>
      <c r="K415" s="55"/>
    </row>
    <row r="416" spans="1:11" s="72" customFormat="1" ht="18.75">
      <c r="A416" s="33"/>
      <c r="B416" s="64" t="s">
        <v>708</v>
      </c>
      <c r="C416" s="78" t="s">
        <v>709</v>
      </c>
      <c r="D416" s="22" t="s">
        <v>0</v>
      </c>
      <c r="E416" s="167">
        <v>1</v>
      </c>
      <c r="F416" s="24">
        <f>TRUNC(4.8288,2)</f>
        <v>4.82</v>
      </c>
      <c r="G416" s="128">
        <f t="shared" si="19"/>
        <v>4.82</v>
      </c>
      <c r="H416" s="128"/>
      <c r="I416" s="128"/>
      <c r="J416" s="55"/>
      <c r="K416" s="55"/>
    </row>
    <row r="417" spans="1:11" s="72" customFormat="1" ht="18.75">
      <c r="A417" s="33"/>
      <c r="B417" s="64" t="s">
        <v>710</v>
      </c>
      <c r="C417" s="78" t="s">
        <v>711</v>
      </c>
      <c r="D417" s="22" t="s">
        <v>0</v>
      </c>
      <c r="E417" s="167">
        <v>1</v>
      </c>
      <c r="F417" s="24">
        <f>TRUNC(0.4746,2)</f>
        <v>0.47</v>
      </c>
      <c r="G417" s="128">
        <f t="shared" si="19"/>
        <v>0.47</v>
      </c>
      <c r="H417" s="128"/>
      <c r="I417" s="128"/>
      <c r="J417" s="55"/>
      <c r="K417" s="55"/>
    </row>
    <row r="418" spans="1:11" s="72" customFormat="1" ht="18.75">
      <c r="A418" s="33"/>
      <c r="B418" s="64" t="s">
        <v>712</v>
      </c>
      <c r="C418" s="78" t="s">
        <v>713</v>
      </c>
      <c r="D418" s="22" t="s">
        <v>0</v>
      </c>
      <c r="E418" s="167">
        <v>1</v>
      </c>
      <c r="F418" s="24">
        <f>TRUNC(0.7532,2)</f>
        <v>0.75</v>
      </c>
      <c r="G418" s="128">
        <f t="shared" si="19"/>
        <v>0.75</v>
      </c>
      <c r="H418" s="128"/>
      <c r="I418" s="128"/>
      <c r="J418" s="55"/>
      <c r="K418" s="55"/>
    </row>
    <row r="419" spans="1:11" s="72" customFormat="1" ht="18.75">
      <c r="A419" s="33"/>
      <c r="B419" s="64" t="s">
        <v>266</v>
      </c>
      <c r="C419" s="78" t="s">
        <v>714</v>
      </c>
      <c r="D419" s="22" t="s">
        <v>0</v>
      </c>
      <c r="E419" s="167">
        <v>0.02</v>
      </c>
      <c r="F419" s="24">
        <f>TRUNC(34.03,2)</f>
        <v>34.03</v>
      </c>
      <c r="G419" s="128">
        <f t="shared" si="19"/>
        <v>0.68</v>
      </c>
      <c r="H419" s="128"/>
      <c r="I419" s="128"/>
      <c r="J419" s="55"/>
      <c r="K419" s="55"/>
    </row>
    <row r="420" spans="1:11" s="72" customFormat="1" ht="18.75">
      <c r="A420" s="33"/>
      <c r="B420" s="64" t="s">
        <v>279</v>
      </c>
      <c r="C420" s="78" t="s">
        <v>280</v>
      </c>
      <c r="D420" s="22" t="s">
        <v>0</v>
      </c>
      <c r="E420" s="167">
        <v>0.333</v>
      </c>
      <c r="F420" s="24">
        <f>TRUNC(11.1022,2)</f>
        <v>11.1</v>
      </c>
      <c r="G420" s="128">
        <f t="shared" si="19"/>
        <v>3.69</v>
      </c>
      <c r="H420" s="128"/>
      <c r="I420" s="128"/>
      <c r="J420" s="55"/>
      <c r="K420" s="55"/>
    </row>
    <row r="421" spans="1:11" s="72" customFormat="1" ht="18.75">
      <c r="A421" s="33"/>
      <c r="B421" s="64" t="s">
        <v>152</v>
      </c>
      <c r="C421" s="78" t="s">
        <v>290</v>
      </c>
      <c r="D421" s="22" t="s">
        <v>0</v>
      </c>
      <c r="E421" s="167">
        <v>1</v>
      </c>
      <c r="F421" s="24">
        <f>TRUNC(2.02,2)</f>
        <v>2.02</v>
      </c>
      <c r="G421" s="128">
        <f t="shared" si="19"/>
        <v>2.02</v>
      </c>
      <c r="H421" s="128"/>
      <c r="I421" s="128"/>
      <c r="J421" s="55"/>
      <c r="K421" s="55"/>
    </row>
    <row r="422" spans="1:11" s="72" customFormat="1" ht="18.75">
      <c r="A422" s="33"/>
      <c r="B422" s="64" t="s">
        <v>715</v>
      </c>
      <c r="C422" s="78" t="s">
        <v>716</v>
      </c>
      <c r="D422" s="22" t="s">
        <v>0</v>
      </c>
      <c r="E422" s="167">
        <v>4</v>
      </c>
      <c r="F422" s="24">
        <f>TRUNC(1.7231,2)</f>
        <v>1.72</v>
      </c>
      <c r="G422" s="128">
        <f t="shared" si="19"/>
        <v>6.88</v>
      </c>
      <c r="H422" s="128"/>
      <c r="I422" s="128"/>
      <c r="J422" s="55"/>
      <c r="K422" s="55"/>
    </row>
    <row r="423" spans="1:11" s="72" customFormat="1" ht="18.75">
      <c r="A423" s="33"/>
      <c r="B423" s="64" t="s">
        <v>148</v>
      </c>
      <c r="C423" s="78" t="s">
        <v>149</v>
      </c>
      <c r="D423" s="22" t="s">
        <v>0</v>
      </c>
      <c r="E423" s="167">
        <v>0.5</v>
      </c>
      <c r="F423" s="24">
        <f>TRUNC(45.224,2)</f>
        <v>45.22</v>
      </c>
      <c r="G423" s="128">
        <f t="shared" si="19"/>
        <v>22.61</v>
      </c>
      <c r="H423" s="128"/>
      <c r="I423" s="128"/>
      <c r="J423" s="55"/>
      <c r="K423" s="55"/>
    </row>
    <row r="424" spans="1:11" s="72" customFormat="1" ht="18.75">
      <c r="A424" s="33"/>
      <c r="B424" s="64" t="s">
        <v>717</v>
      </c>
      <c r="C424" s="78" t="s">
        <v>718</v>
      </c>
      <c r="D424" s="22" t="s">
        <v>0</v>
      </c>
      <c r="E424" s="167">
        <v>0.5</v>
      </c>
      <c r="F424" s="24">
        <f>TRUNC(0.72,2)</f>
        <v>0.72</v>
      </c>
      <c r="G424" s="128">
        <f t="shared" si="19"/>
        <v>0.36</v>
      </c>
      <c r="H424" s="128"/>
      <c r="I424" s="128"/>
      <c r="J424" s="55"/>
      <c r="K424" s="55"/>
    </row>
    <row r="425" spans="1:11" s="72" customFormat="1" ht="18.75">
      <c r="A425" s="33"/>
      <c r="B425" s="64" t="s">
        <v>150</v>
      </c>
      <c r="C425" s="78" t="s">
        <v>151</v>
      </c>
      <c r="D425" s="22" t="s">
        <v>0</v>
      </c>
      <c r="E425" s="167">
        <v>0.14</v>
      </c>
      <c r="F425" s="24">
        <f>TRUNC(3.17,2)</f>
        <v>3.17</v>
      </c>
      <c r="G425" s="128">
        <f t="shared" si="19"/>
        <v>0.44</v>
      </c>
      <c r="H425" s="128"/>
      <c r="I425" s="128"/>
      <c r="J425" s="55"/>
      <c r="K425" s="55"/>
    </row>
    <row r="426" spans="1:11" s="72" customFormat="1" ht="18.75">
      <c r="A426" s="33"/>
      <c r="B426" s="64" t="s">
        <v>719</v>
      </c>
      <c r="C426" s="78" t="s">
        <v>720</v>
      </c>
      <c r="D426" s="22" t="s">
        <v>0</v>
      </c>
      <c r="E426" s="167">
        <v>2</v>
      </c>
      <c r="F426" s="24">
        <f>TRUNC(0.25,2)</f>
        <v>0.25</v>
      </c>
      <c r="G426" s="128">
        <f t="shared" si="19"/>
        <v>0.5</v>
      </c>
      <c r="H426" s="128"/>
      <c r="I426" s="128"/>
      <c r="J426" s="55"/>
      <c r="K426" s="55"/>
    </row>
    <row r="427" spans="1:11" s="72" customFormat="1" ht="36">
      <c r="A427" s="33"/>
      <c r="B427" s="64" t="s">
        <v>40</v>
      </c>
      <c r="C427" s="78" t="s">
        <v>41</v>
      </c>
      <c r="D427" s="22" t="s">
        <v>7</v>
      </c>
      <c r="E427" s="167">
        <v>2.575</v>
      </c>
      <c r="F427" s="24">
        <f>TRUNC(13.08,2)</f>
        <v>13.08</v>
      </c>
      <c r="G427" s="128">
        <f t="shared" si="19"/>
        <v>33.68</v>
      </c>
      <c r="H427" s="128"/>
      <c r="I427" s="128"/>
      <c r="J427" s="55"/>
      <c r="K427" s="55"/>
    </row>
    <row r="428" spans="1:11" s="72" customFormat="1" ht="36">
      <c r="A428" s="33"/>
      <c r="B428" s="64" t="s">
        <v>76</v>
      </c>
      <c r="C428" s="78" t="s">
        <v>264</v>
      </c>
      <c r="D428" s="22" t="s">
        <v>7</v>
      </c>
      <c r="E428" s="167">
        <v>8.755</v>
      </c>
      <c r="F428" s="24">
        <f>TRUNC(18.05,2)</f>
        <v>18.05</v>
      </c>
      <c r="G428" s="128">
        <f t="shared" si="19"/>
        <v>158.02</v>
      </c>
      <c r="H428" s="128"/>
      <c r="I428" s="128"/>
      <c r="J428" s="55"/>
      <c r="K428" s="55"/>
    </row>
    <row r="429" spans="1:11" s="72" customFormat="1" ht="18.75">
      <c r="A429" s="33"/>
      <c r="B429" s="64"/>
      <c r="C429" s="78"/>
      <c r="D429" s="22"/>
      <c r="E429" s="167" t="s">
        <v>5</v>
      </c>
      <c r="F429" s="24"/>
      <c r="G429" s="128">
        <f>TRUNC(SUM(G415:G428),2)</f>
        <v>238.51</v>
      </c>
      <c r="H429" s="128"/>
      <c r="I429" s="128"/>
      <c r="J429" s="55"/>
      <c r="K429" s="55"/>
    </row>
    <row r="430" spans="1:11" s="150" customFormat="1" ht="36">
      <c r="A430" s="204" t="s">
        <v>678</v>
      </c>
      <c r="B430" s="205" t="s">
        <v>726</v>
      </c>
      <c r="C430" s="206" t="s">
        <v>725</v>
      </c>
      <c r="D430" s="207" t="s">
        <v>0</v>
      </c>
      <c r="E430" s="208">
        <v>3</v>
      </c>
      <c r="F430" s="209">
        <f>TRUNC(F431+F434,2)</f>
        <v>161.65</v>
      </c>
      <c r="G430" s="244">
        <f>TRUNC(F430*1.2882,2)</f>
        <v>208.23</v>
      </c>
      <c r="H430" s="244">
        <f>TRUNC(F430*E430,2)</f>
        <v>484.95</v>
      </c>
      <c r="I430" s="244">
        <f>TRUNC(E430*G430,2)</f>
        <v>624.69</v>
      </c>
      <c r="J430" s="210"/>
      <c r="K430" s="149"/>
    </row>
    <row r="431" spans="1:10" ht="36">
      <c r="A431" s="31"/>
      <c r="B431" s="79" t="s">
        <v>433</v>
      </c>
      <c r="C431" s="80" t="s">
        <v>434</v>
      </c>
      <c r="D431" s="18" t="s">
        <v>0</v>
      </c>
      <c r="E431" s="169">
        <v>1</v>
      </c>
      <c r="F431" s="19">
        <f>TRUNC(37.28,2)</f>
        <v>37.28</v>
      </c>
      <c r="G431" s="239">
        <f>TRUNC(E431*F431,2)</f>
        <v>37.28</v>
      </c>
      <c r="H431" s="128"/>
      <c r="I431" s="128"/>
      <c r="J431" s="55"/>
    </row>
    <row r="432" spans="1:10" ht="18.75">
      <c r="A432" s="33"/>
      <c r="B432" s="64" t="s">
        <v>435</v>
      </c>
      <c r="C432" s="78" t="s">
        <v>436</v>
      </c>
      <c r="D432" s="22" t="s">
        <v>0</v>
      </c>
      <c r="E432" s="167">
        <v>1</v>
      </c>
      <c r="F432" s="24">
        <f>TRUNC(37.28,2)</f>
        <v>37.28</v>
      </c>
      <c r="G432" s="128">
        <f>TRUNC(E432*F432,2)</f>
        <v>37.28</v>
      </c>
      <c r="H432" s="128"/>
      <c r="I432" s="128"/>
      <c r="J432" s="55"/>
    </row>
    <row r="433" spans="1:10" ht="18.75">
      <c r="A433" s="33"/>
      <c r="B433" s="64"/>
      <c r="C433" s="78"/>
      <c r="D433" s="22"/>
      <c r="E433" s="167" t="s">
        <v>5</v>
      </c>
      <c r="F433" s="24"/>
      <c r="G433" s="128">
        <f>TRUNC(SUM(G432:G432),2)</f>
        <v>37.28</v>
      </c>
      <c r="H433" s="128"/>
      <c r="I433" s="128"/>
      <c r="J433" s="55"/>
    </row>
    <row r="434" spans="1:10" ht="54">
      <c r="A434" s="33"/>
      <c r="B434" s="64" t="s">
        <v>723</v>
      </c>
      <c r="C434" s="78" t="s">
        <v>724</v>
      </c>
      <c r="D434" s="22" t="s">
        <v>0</v>
      </c>
      <c r="E434" s="167">
        <v>1</v>
      </c>
      <c r="F434" s="24">
        <f>TRUNC(G444,2)</f>
        <v>124.37</v>
      </c>
      <c r="G434" s="128">
        <f aca="true" t="shared" si="20" ref="G434:G443">TRUNC(E434*F434,2)</f>
        <v>124.37</v>
      </c>
      <c r="H434" s="128"/>
      <c r="I434" s="128"/>
      <c r="J434" s="55"/>
    </row>
    <row r="435" spans="1:10" ht="18.75">
      <c r="A435" s="33"/>
      <c r="B435" s="64" t="s">
        <v>706</v>
      </c>
      <c r="C435" s="78" t="s">
        <v>707</v>
      </c>
      <c r="D435" s="22" t="s">
        <v>0</v>
      </c>
      <c r="E435" s="167">
        <v>1</v>
      </c>
      <c r="F435" s="24">
        <f>TRUNC(3.5907,2)</f>
        <v>3.59</v>
      </c>
      <c r="G435" s="128">
        <f t="shared" si="20"/>
        <v>3.59</v>
      </c>
      <c r="H435" s="128"/>
      <c r="I435" s="128"/>
      <c r="J435" s="55"/>
    </row>
    <row r="436" spans="1:10" ht="18.75">
      <c r="A436" s="33"/>
      <c r="B436" s="64" t="s">
        <v>710</v>
      </c>
      <c r="C436" s="78" t="s">
        <v>711</v>
      </c>
      <c r="D436" s="22" t="s">
        <v>0</v>
      </c>
      <c r="E436" s="167">
        <v>1</v>
      </c>
      <c r="F436" s="24">
        <f>TRUNC(0.4746,2)</f>
        <v>0.47</v>
      </c>
      <c r="G436" s="128">
        <f t="shared" si="20"/>
        <v>0.47</v>
      </c>
      <c r="H436" s="128"/>
      <c r="I436" s="128"/>
      <c r="J436" s="55"/>
    </row>
    <row r="437" spans="1:10" ht="18.75">
      <c r="A437" s="33"/>
      <c r="B437" s="64" t="s">
        <v>712</v>
      </c>
      <c r="C437" s="78" t="s">
        <v>713</v>
      </c>
      <c r="D437" s="22" t="s">
        <v>0</v>
      </c>
      <c r="E437" s="167">
        <v>1</v>
      </c>
      <c r="F437" s="24">
        <f>TRUNC(0.7532,2)</f>
        <v>0.75</v>
      </c>
      <c r="G437" s="128">
        <f t="shared" si="20"/>
        <v>0.75</v>
      </c>
      <c r="H437" s="128"/>
      <c r="I437" s="128"/>
      <c r="J437" s="55"/>
    </row>
    <row r="438" spans="1:10" ht="18.75">
      <c r="A438" s="33"/>
      <c r="B438" s="64" t="s">
        <v>266</v>
      </c>
      <c r="C438" s="78" t="s">
        <v>714</v>
      </c>
      <c r="D438" s="22" t="s">
        <v>0</v>
      </c>
      <c r="E438" s="167">
        <v>0.03</v>
      </c>
      <c r="F438" s="24">
        <f>TRUNC(34.03,2)</f>
        <v>34.03</v>
      </c>
      <c r="G438" s="128">
        <f t="shared" si="20"/>
        <v>1.02</v>
      </c>
      <c r="H438" s="128"/>
      <c r="I438" s="128"/>
      <c r="J438" s="55"/>
    </row>
    <row r="439" spans="1:10" ht="18.75">
      <c r="A439" s="33"/>
      <c r="B439" s="64" t="s">
        <v>279</v>
      </c>
      <c r="C439" s="78" t="s">
        <v>280</v>
      </c>
      <c r="D439" s="22" t="s">
        <v>0</v>
      </c>
      <c r="E439" s="167">
        <v>0.5</v>
      </c>
      <c r="F439" s="24">
        <f>TRUNC(11.1022,2)</f>
        <v>11.1</v>
      </c>
      <c r="G439" s="128">
        <f t="shared" si="20"/>
        <v>5.55</v>
      </c>
      <c r="H439" s="128"/>
      <c r="I439" s="128"/>
      <c r="J439" s="55"/>
    </row>
    <row r="440" spans="1:10" ht="18.75">
      <c r="A440" s="33"/>
      <c r="B440" s="64" t="s">
        <v>717</v>
      </c>
      <c r="C440" s="78" t="s">
        <v>718</v>
      </c>
      <c r="D440" s="22" t="s">
        <v>0</v>
      </c>
      <c r="E440" s="167">
        <v>0.2</v>
      </c>
      <c r="F440" s="24">
        <f>TRUNC(0.72,2)</f>
        <v>0.72</v>
      </c>
      <c r="G440" s="128">
        <f t="shared" si="20"/>
        <v>0.14</v>
      </c>
      <c r="H440" s="128"/>
      <c r="I440" s="128"/>
      <c r="J440" s="55"/>
    </row>
    <row r="441" spans="1:10" ht="18.75">
      <c r="A441" s="33"/>
      <c r="B441" s="64" t="s">
        <v>150</v>
      </c>
      <c r="C441" s="78" t="s">
        <v>151</v>
      </c>
      <c r="D441" s="22" t="s">
        <v>0</v>
      </c>
      <c r="E441" s="167">
        <v>0.2</v>
      </c>
      <c r="F441" s="24">
        <f>TRUNC(3.17,2)</f>
        <v>3.17</v>
      </c>
      <c r="G441" s="128">
        <f t="shared" si="20"/>
        <v>0.63</v>
      </c>
      <c r="H441" s="128"/>
      <c r="I441" s="128"/>
      <c r="J441" s="55"/>
    </row>
    <row r="442" spans="1:10" ht="36">
      <c r="A442" s="33"/>
      <c r="B442" s="64" t="s">
        <v>40</v>
      </c>
      <c r="C442" s="78" t="s">
        <v>41</v>
      </c>
      <c r="D442" s="22" t="s">
        <v>7</v>
      </c>
      <c r="E442" s="167">
        <v>3.605</v>
      </c>
      <c r="F442" s="24">
        <f>TRUNC(13.08,2)</f>
        <v>13.08</v>
      </c>
      <c r="G442" s="128">
        <f t="shared" si="20"/>
        <v>47.15</v>
      </c>
      <c r="H442" s="128"/>
      <c r="I442" s="128"/>
      <c r="J442" s="55"/>
    </row>
    <row r="443" spans="1:10" ht="36">
      <c r="A443" s="33"/>
      <c r="B443" s="64" t="s">
        <v>76</v>
      </c>
      <c r="C443" s="78" t="s">
        <v>264</v>
      </c>
      <c r="D443" s="22" t="s">
        <v>7</v>
      </c>
      <c r="E443" s="167">
        <v>3.605</v>
      </c>
      <c r="F443" s="24">
        <f>TRUNC(18.05,2)</f>
        <v>18.05</v>
      </c>
      <c r="G443" s="128">
        <f t="shared" si="20"/>
        <v>65.07</v>
      </c>
      <c r="H443" s="128"/>
      <c r="I443" s="128"/>
      <c r="J443" s="55"/>
    </row>
    <row r="444" spans="1:10" ht="18.75">
      <c r="A444" s="33"/>
      <c r="B444" s="64"/>
      <c r="C444" s="78"/>
      <c r="D444" s="22"/>
      <c r="E444" s="167" t="s">
        <v>5</v>
      </c>
      <c r="F444" s="24"/>
      <c r="G444" s="128">
        <f>TRUNC(SUM(G435:G443),2)</f>
        <v>124.37</v>
      </c>
      <c r="H444" s="128"/>
      <c r="I444" s="128"/>
      <c r="J444" s="55"/>
    </row>
    <row r="445" spans="1:11" s="150" customFormat="1" ht="54">
      <c r="A445" s="211" t="s">
        <v>679</v>
      </c>
      <c r="B445" s="216" t="s">
        <v>441</v>
      </c>
      <c r="C445" s="213" t="s">
        <v>442</v>
      </c>
      <c r="D445" s="156" t="s">
        <v>0</v>
      </c>
      <c r="E445" s="214">
        <v>2</v>
      </c>
      <c r="F445" s="157">
        <f>TRUNC(G450,2)</f>
        <v>120.63</v>
      </c>
      <c r="G445" s="244">
        <f>TRUNC(F445*1.2882,2)</f>
        <v>155.39</v>
      </c>
      <c r="H445" s="244">
        <f>TRUNC(F445*E445,2)</f>
        <v>241.26</v>
      </c>
      <c r="I445" s="244">
        <f>TRUNC(E445*G445,2)</f>
        <v>310.78</v>
      </c>
      <c r="J445" s="210"/>
      <c r="K445" s="149"/>
    </row>
    <row r="446" spans="1:11" s="111" customFormat="1" ht="54">
      <c r="A446" s="179"/>
      <c r="B446" s="292" t="s">
        <v>441</v>
      </c>
      <c r="C446" s="174" t="s">
        <v>442</v>
      </c>
      <c r="D446" s="161" t="s">
        <v>0</v>
      </c>
      <c r="E446" s="180">
        <v>1</v>
      </c>
      <c r="F446" s="162">
        <f>TRUNC(120.6339,2)</f>
        <v>120.63</v>
      </c>
      <c r="G446" s="260">
        <f>TRUNC(E446*F446,2)</f>
        <v>120.63</v>
      </c>
      <c r="H446" s="259"/>
      <c r="I446" s="259"/>
      <c r="J446" s="175"/>
      <c r="K446" s="110"/>
    </row>
    <row r="447" spans="1:11" s="111" customFormat="1" ht="36">
      <c r="A447" s="179"/>
      <c r="B447" s="181" t="s">
        <v>443</v>
      </c>
      <c r="C447" s="174" t="s">
        <v>444</v>
      </c>
      <c r="D447" s="161" t="s">
        <v>0</v>
      </c>
      <c r="E447" s="180">
        <v>1</v>
      </c>
      <c r="F447" s="162">
        <f>TRUNC(88.57,2)</f>
        <v>88.57</v>
      </c>
      <c r="G447" s="260">
        <f>TRUNC(E447*F447,2)</f>
        <v>88.57</v>
      </c>
      <c r="H447" s="259"/>
      <c r="I447" s="259"/>
      <c r="J447" s="175"/>
      <c r="K447" s="110"/>
    </row>
    <row r="448" spans="1:11" s="111" customFormat="1" ht="36">
      <c r="A448" s="179"/>
      <c r="B448" s="181" t="s">
        <v>40</v>
      </c>
      <c r="C448" s="174" t="s">
        <v>41</v>
      </c>
      <c r="D448" s="161" t="s">
        <v>7</v>
      </c>
      <c r="E448" s="180">
        <v>1.03</v>
      </c>
      <c r="F448" s="162">
        <f>TRUNC(13.08,2)</f>
        <v>13.08</v>
      </c>
      <c r="G448" s="260">
        <f>TRUNC(E448*F448,2)</f>
        <v>13.47</v>
      </c>
      <c r="H448" s="259"/>
      <c r="I448" s="259"/>
      <c r="J448" s="175"/>
      <c r="K448" s="110"/>
    </row>
    <row r="449" spans="1:11" s="111" customFormat="1" ht="18.75">
      <c r="A449" s="179"/>
      <c r="B449" s="181" t="s">
        <v>43</v>
      </c>
      <c r="C449" s="174" t="s">
        <v>100</v>
      </c>
      <c r="D449" s="161" t="s">
        <v>7</v>
      </c>
      <c r="E449" s="180">
        <v>1.03</v>
      </c>
      <c r="F449" s="162">
        <f>TRUNC(18.05,2)</f>
        <v>18.05</v>
      </c>
      <c r="G449" s="260">
        <f>TRUNC(E449*F449,2)</f>
        <v>18.59</v>
      </c>
      <c r="H449" s="259"/>
      <c r="I449" s="259"/>
      <c r="J449" s="175"/>
      <c r="K449" s="110"/>
    </row>
    <row r="450" spans="1:11" s="111" customFormat="1" ht="18.75">
      <c r="A450" s="179"/>
      <c r="B450" s="181"/>
      <c r="C450" s="174"/>
      <c r="D450" s="161"/>
      <c r="E450" s="180" t="s">
        <v>5</v>
      </c>
      <c r="F450" s="162"/>
      <c r="G450" s="260">
        <f>TRUNC(SUM(G447:G449),2)</f>
        <v>120.63</v>
      </c>
      <c r="H450" s="259"/>
      <c r="I450" s="259"/>
      <c r="J450" s="175"/>
      <c r="K450" s="110"/>
    </row>
    <row r="451" spans="1:11" s="150" customFormat="1" ht="72">
      <c r="A451" s="211" t="s">
        <v>680</v>
      </c>
      <c r="B451" s="216" t="s">
        <v>445</v>
      </c>
      <c r="C451" s="213" t="s">
        <v>446</v>
      </c>
      <c r="D451" s="156" t="s">
        <v>0</v>
      </c>
      <c r="E451" s="214">
        <v>6</v>
      </c>
      <c r="F451" s="157">
        <f>TRUNC(G455,2)</f>
        <v>89.18</v>
      </c>
      <c r="G451" s="244">
        <f>TRUNC(F451*1.2882,2)</f>
        <v>114.88</v>
      </c>
      <c r="H451" s="244">
        <f>TRUNC(F451*E451,2)</f>
        <v>535.08</v>
      </c>
      <c r="I451" s="244">
        <f>TRUNC(E451*G451,2)</f>
        <v>689.28</v>
      </c>
      <c r="J451" s="210"/>
      <c r="K451" s="149"/>
    </row>
    <row r="452" spans="1:11" s="111" customFormat="1" ht="36">
      <c r="A452" s="179"/>
      <c r="B452" s="181" t="s">
        <v>447</v>
      </c>
      <c r="C452" s="174" t="s">
        <v>448</v>
      </c>
      <c r="D452" s="161" t="s">
        <v>0</v>
      </c>
      <c r="E452" s="180">
        <v>1</v>
      </c>
      <c r="F452" s="162">
        <f>TRUNC(72.45,2)</f>
        <v>72.45</v>
      </c>
      <c r="G452" s="259">
        <f>TRUNC(E452*F452,2)</f>
        <v>72.45</v>
      </c>
      <c r="H452" s="259"/>
      <c r="I452" s="259"/>
      <c r="J452" s="175"/>
      <c r="K452" s="110"/>
    </row>
    <row r="453" spans="1:11" s="111" customFormat="1" ht="36">
      <c r="A453" s="179"/>
      <c r="B453" s="181" t="s">
        <v>40</v>
      </c>
      <c r="C453" s="174" t="s">
        <v>41</v>
      </c>
      <c r="D453" s="161" t="s">
        <v>7</v>
      </c>
      <c r="E453" s="180">
        <v>0.515</v>
      </c>
      <c r="F453" s="162">
        <f>TRUNC(13.08,2)</f>
        <v>13.08</v>
      </c>
      <c r="G453" s="259">
        <f>TRUNC(E453*F453,2)</f>
        <v>6.73</v>
      </c>
      <c r="H453" s="259"/>
      <c r="I453" s="259"/>
      <c r="J453" s="175"/>
      <c r="K453" s="110"/>
    </row>
    <row r="454" spans="1:11" s="111" customFormat="1" ht="36">
      <c r="A454" s="179"/>
      <c r="B454" s="181" t="s">
        <v>73</v>
      </c>
      <c r="C454" s="174" t="s">
        <v>395</v>
      </c>
      <c r="D454" s="161" t="s">
        <v>7</v>
      </c>
      <c r="E454" s="180">
        <v>0.515</v>
      </c>
      <c r="F454" s="162">
        <f>TRUNC(19.43,2)</f>
        <v>19.43</v>
      </c>
      <c r="G454" s="259">
        <f>TRUNC(E454*F454,2)</f>
        <v>10</v>
      </c>
      <c r="H454" s="259"/>
      <c r="I454" s="259"/>
      <c r="J454" s="175"/>
      <c r="K454" s="110"/>
    </row>
    <row r="455" spans="1:11" s="111" customFormat="1" ht="18.75">
      <c r="A455" s="179"/>
      <c r="B455" s="181"/>
      <c r="C455" s="174"/>
      <c r="D455" s="161"/>
      <c r="E455" s="180" t="s">
        <v>5</v>
      </c>
      <c r="F455" s="162"/>
      <c r="G455" s="259">
        <f>TRUNC(SUM(G452:G454),2)</f>
        <v>89.18</v>
      </c>
      <c r="H455" s="259"/>
      <c r="I455" s="259"/>
      <c r="J455" s="175"/>
      <c r="K455" s="110"/>
    </row>
    <row r="456" spans="1:11" s="150" customFormat="1" ht="54">
      <c r="A456" s="211" t="s">
        <v>681</v>
      </c>
      <c r="B456" s="216" t="s">
        <v>219</v>
      </c>
      <c r="C456" s="213" t="s">
        <v>289</v>
      </c>
      <c r="D456" s="156" t="s">
        <v>0</v>
      </c>
      <c r="E456" s="214">
        <v>6</v>
      </c>
      <c r="F456" s="157">
        <f>TRUNC(G460,2)</f>
        <v>124.39</v>
      </c>
      <c r="G456" s="244">
        <f>TRUNC(F456*1.2882,2)</f>
        <v>160.23</v>
      </c>
      <c r="H456" s="244">
        <f>TRUNC(F456*E456,2)</f>
        <v>746.34</v>
      </c>
      <c r="I456" s="244">
        <f>TRUNC(E456*G456,2)</f>
        <v>961.38</v>
      </c>
      <c r="J456" s="210"/>
      <c r="K456" s="149"/>
    </row>
    <row r="457" spans="1:11" s="111" customFormat="1" ht="18.75">
      <c r="A457" s="179"/>
      <c r="B457" s="181" t="s">
        <v>220</v>
      </c>
      <c r="C457" s="174" t="s">
        <v>449</v>
      </c>
      <c r="D457" s="161" t="s">
        <v>0</v>
      </c>
      <c r="E457" s="180">
        <v>1</v>
      </c>
      <c r="F457" s="162">
        <f>TRUNC(92.33,2)</f>
        <v>92.33</v>
      </c>
      <c r="G457" s="259">
        <f>TRUNC(E457*F457,2)</f>
        <v>92.33</v>
      </c>
      <c r="H457" s="259"/>
      <c r="I457" s="259"/>
      <c r="J457" s="175"/>
      <c r="K457" s="110"/>
    </row>
    <row r="458" spans="1:11" s="111" customFormat="1" ht="36">
      <c r="A458" s="179"/>
      <c r="B458" s="181" t="s">
        <v>40</v>
      </c>
      <c r="C458" s="174" t="s">
        <v>41</v>
      </c>
      <c r="D458" s="161" t="s">
        <v>7</v>
      </c>
      <c r="E458" s="180">
        <v>1.03</v>
      </c>
      <c r="F458" s="162">
        <f>TRUNC(13.08,2)</f>
        <v>13.08</v>
      </c>
      <c r="G458" s="259">
        <f>TRUNC(E458*F458,2)</f>
        <v>13.47</v>
      </c>
      <c r="H458" s="259"/>
      <c r="I458" s="259"/>
      <c r="J458" s="175"/>
      <c r="K458" s="110"/>
    </row>
    <row r="459" spans="1:11" s="111" customFormat="1" ht="18.75">
      <c r="A459" s="179"/>
      <c r="B459" s="181" t="s">
        <v>43</v>
      </c>
      <c r="C459" s="174" t="s">
        <v>100</v>
      </c>
      <c r="D459" s="161" t="s">
        <v>7</v>
      </c>
      <c r="E459" s="180">
        <v>1.03</v>
      </c>
      <c r="F459" s="162">
        <f>TRUNC(18.05,2)</f>
        <v>18.05</v>
      </c>
      <c r="G459" s="259">
        <f>TRUNC(E459*F459,2)</f>
        <v>18.59</v>
      </c>
      <c r="H459" s="259"/>
      <c r="I459" s="259"/>
      <c r="J459" s="175"/>
      <c r="K459" s="110"/>
    </row>
    <row r="460" spans="1:11" s="111" customFormat="1" ht="18.75">
      <c r="A460" s="179"/>
      <c r="B460" s="181"/>
      <c r="C460" s="174"/>
      <c r="D460" s="161"/>
      <c r="E460" s="180" t="s">
        <v>5</v>
      </c>
      <c r="F460" s="162"/>
      <c r="G460" s="259">
        <f>TRUNC(SUM(G457:G459),2)</f>
        <v>124.39</v>
      </c>
      <c r="H460" s="259"/>
      <c r="I460" s="259"/>
      <c r="J460" s="175"/>
      <c r="K460" s="110"/>
    </row>
    <row r="461" spans="1:11" s="150" customFormat="1" ht="36">
      <c r="A461" s="211" t="s">
        <v>682</v>
      </c>
      <c r="B461" s="216" t="s">
        <v>995</v>
      </c>
      <c r="C461" s="213" t="s">
        <v>451</v>
      </c>
      <c r="D461" s="156" t="s">
        <v>44</v>
      </c>
      <c r="E461" s="214">
        <v>1.8</v>
      </c>
      <c r="F461" s="157">
        <f>TRUNC(G468,2)</f>
        <v>367.09</v>
      </c>
      <c r="G461" s="244">
        <f>TRUNC(F461*1.2882,2)</f>
        <v>472.88</v>
      </c>
      <c r="H461" s="244">
        <f>TRUNC(F461*E461,2)</f>
        <v>660.76</v>
      </c>
      <c r="I461" s="244">
        <f>TRUNC(E461*G461,2)</f>
        <v>851.18</v>
      </c>
      <c r="J461" s="210"/>
      <c r="K461" s="149"/>
    </row>
    <row r="462" spans="1:10" ht="18.75">
      <c r="A462" s="33"/>
      <c r="B462" s="64" t="s">
        <v>996</v>
      </c>
      <c r="C462" s="78" t="s">
        <v>452</v>
      </c>
      <c r="D462" s="22" t="s">
        <v>44</v>
      </c>
      <c r="E462" s="167">
        <v>1</v>
      </c>
      <c r="F462" s="24">
        <v>229.33</v>
      </c>
      <c r="G462" s="239">
        <f aca="true" t="shared" si="21" ref="G462:G467">TRUNC(E462*F462,2)</f>
        <v>229.33</v>
      </c>
      <c r="H462" s="128"/>
      <c r="I462" s="128"/>
      <c r="J462" s="55"/>
    </row>
    <row r="463" spans="1:10" ht="18.75">
      <c r="A463" s="33"/>
      <c r="B463" s="64" t="s">
        <v>997</v>
      </c>
      <c r="C463" s="78" t="s">
        <v>453</v>
      </c>
      <c r="D463" s="22" t="s">
        <v>218</v>
      </c>
      <c r="E463" s="167">
        <v>0.18</v>
      </c>
      <c r="F463" s="24">
        <v>8.36</v>
      </c>
      <c r="G463" s="128">
        <f t="shared" si="21"/>
        <v>1.5</v>
      </c>
      <c r="H463" s="128"/>
      <c r="I463" s="128"/>
      <c r="J463" s="55"/>
    </row>
    <row r="464" spans="1:10" ht="18.75">
      <c r="A464" s="33"/>
      <c r="B464" s="64" t="s">
        <v>998</v>
      </c>
      <c r="C464" s="78" t="s">
        <v>454</v>
      </c>
      <c r="D464" s="22" t="s">
        <v>44</v>
      </c>
      <c r="E464" s="167">
        <v>1.05</v>
      </c>
      <c r="F464" s="24">
        <v>21.18</v>
      </c>
      <c r="G464" s="128">
        <f t="shared" si="21"/>
        <v>22.23</v>
      </c>
      <c r="H464" s="128"/>
      <c r="I464" s="128"/>
      <c r="J464" s="55"/>
    </row>
    <row r="465" spans="1:10" ht="18.75">
      <c r="A465" s="33"/>
      <c r="B465" s="64" t="s">
        <v>999</v>
      </c>
      <c r="C465" s="78" t="s">
        <v>455</v>
      </c>
      <c r="D465" s="22" t="s">
        <v>46</v>
      </c>
      <c r="E465" s="167">
        <v>1.54</v>
      </c>
      <c r="F465" s="24">
        <v>21.33</v>
      </c>
      <c r="G465" s="128">
        <f t="shared" si="21"/>
        <v>32.84</v>
      </c>
      <c r="H465" s="128"/>
      <c r="I465" s="128"/>
      <c r="J465" s="55"/>
    </row>
    <row r="466" spans="1:10" ht="18.75">
      <c r="A466" s="33"/>
      <c r="B466" s="64" t="s">
        <v>989</v>
      </c>
      <c r="C466" s="78" t="s">
        <v>456</v>
      </c>
      <c r="D466" s="22" t="s">
        <v>7</v>
      </c>
      <c r="E466" s="167">
        <v>1.8</v>
      </c>
      <c r="F466" s="24">
        <f>TRUNC(24.16,2)</f>
        <v>24.16</v>
      </c>
      <c r="G466" s="128">
        <f t="shared" si="21"/>
        <v>43.48</v>
      </c>
      <c r="H466" s="128"/>
      <c r="I466" s="128"/>
      <c r="J466" s="55"/>
    </row>
    <row r="467" spans="1:10" ht="18.75">
      <c r="A467" s="33"/>
      <c r="B467" s="64" t="s">
        <v>1000</v>
      </c>
      <c r="C467" s="78" t="s">
        <v>457</v>
      </c>
      <c r="D467" s="22" t="s">
        <v>7</v>
      </c>
      <c r="E467" s="167">
        <v>1.8</v>
      </c>
      <c r="F467" s="24">
        <f>TRUNC(20.95,2)</f>
        <v>20.95</v>
      </c>
      <c r="G467" s="128">
        <f t="shared" si="21"/>
        <v>37.71</v>
      </c>
      <c r="H467" s="128"/>
      <c r="I467" s="128"/>
      <c r="J467" s="55"/>
    </row>
    <row r="468" spans="1:10" ht="18.75">
      <c r="A468" s="33"/>
      <c r="B468" s="64"/>
      <c r="C468" s="78"/>
      <c r="D468" s="22"/>
      <c r="E468" s="167" t="s">
        <v>5</v>
      </c>
      <c r="F468" s="24"/>
      <c r="G468" s="240">
        <f>TRUNC(SUM(G462:G467),2)</f>
        <v>367.09</v>
      </c>
      <c r="H468" s="128"/>
      <c r="I468" s="128"/>
      <c r="J468" s="55"/>
    </row>
    <row r="469" spans="1:11" s="215" customFormat="1" ht="36">
      <c r="A469" s="211" t="s">
        <v>136</v>
      </c>
      <c r="B469" s="212" t="s">
        <v>458</v>
      </c>
      <c r="C469" s="213" t="s">
        <v>905</v>
      </c>
      <c r="D469" s="156" t="s">
        <v>0</v>
      </c>
      <c r="E469" s="214">
        <v>8</v>
      </c>
      <c r="F469" s="157">
        <f>TRUNC(G472,2)</f>
        <v>21.94</v>
      </c>
      <c r="G469" s="244">
        <f>TRUNC(F469*1.2882,2)</f>
        <v>28.26</v>
      </c>
      <c r="H469" s="244">
        <f>TRUNC(F469*E469,2)</f>
        <v>175.52</v>
      </c>
      <c r="I469" s="244">
        <f>TRUNC(E469*G469,2)</f>
        <v>226.08</v>
      </c>
      <c r="J469" s="210"/>
      <c r="K469" s="149"/>
    </row>
    <row r="470" spans="1:11" s="176" customFormat="1" ht="18.75">
      <c r="A470" s="179"/>
      <c r="B470" s="182" t="s">
        <v>459</v>
      </c>
      <c r="C470" s="174" t="s">
        <v>460</v>
      </c>
      <c r="D470" s="161" t="s">
        <v>0</v>
      </c>
      <c r="E470" s="180">
        <v>1</v>
      </c>
      <c r="F470" s="162">
        <f>TRUNC(11.94,2)</f>
        <v>11.94</v>
      </c>
      <c r="G470" s="260">
        <f>TRUNC(E470*F470,2)</f>
        <v>11.94</v>
      </c>
      <c r="H470" s="259"/>
      <c r="I470" s="259"/>
      <c r="J470" s="175"/>
      <c r="K470" s="110"/>
    </row>
    <row r="471" spans="1:11" s="176" customFormat="1" ht="18.75">
      <c r="A471" s="179"/>
      <c r="B471" s="182" t="s">
        <v>111</v>
      </c>
      <c r="C471" s="174" t="s">
        <v>306</v>
      </c>
      <c r="D471" s="161" t="s">
        <v>7</v>
      </c>
      <c r="E471" s="180">
        <v>0.515</v>
      </c>
      <c r="F471" s="162">
        <f>TRUNC(19.43,2)</f>
        <v>19.43</v>
      </c>
      <c r="G471" s="260">
        <f>TRUNC(E471*F471,2)</f>
        <v>10</v>
      </c>
      <c r="H471" s="259"/>
      <c r="I471" s="259"/>
      <c r="J471" s="175"/>
      <c r="K471" s="110"/>
    </row>
    <row r="472" spans="1:11" s="176" customFormat="1" ht="18.75">
      <c r="A472" s="179"/>
      <c r="B472" s="182"/>
      <c r="C472" s="174"/>
      <c r="D472" s="161"/>
      <c r="E472" s="180" t="s">
        <v>5</v>
      </c>
      <c r="F472" s="162"/>
      <c r="G472" s="260">
        <f>TRUNC(SUM(G470:G471),2)</f>
        <v>21.94</v>
      </c>
      <c r="H472" s="259"/>
      <c r="I472" s="259"/>
      <c r="J472" s="175"/>
      <c r="K472" s="110"/>
    </row>
    <row r="473" spans="1:11" s="215" customFormat="1" ht="36">
      <c r="A473" s="211" t="s">
        <v>137</v>
      </c>
      <c r="B473" s="212" t="s">
        <v>464</v>
      </c>
      <c r="C473" s="213" t="s">
        <v>465</v>
      </c>
      <c r="D473" s="156" t="s">
        <v>0</v>
      </c>
      <c r="E473" s="214">
        <v>3</v>
      </c>
      <c r="F473" s="157">
        <f>TRUNC(92.3,2)</f>
        <v>92.3</v>
      </c>
      <c r="G473" s="244">
        <f>TRUNC(F473*1.2882,2)</f>
        <v>118.9</v>
      </c>
      <c r="H473" s="244">
        <f>TRUNC(F473*E473,2)</f>
        <v>276.9</v>
      </c>
      <c r="I473" s="244">
        <f>TRUNC(E473*G473,2)</f>
        <v>356.7</v>
      </c>
      <c r="J473" s="210"/>
      <c r="K473" s="149"/>
    </row>
    <row r="474" spans="1:11" s="176" customFormat="1" ht="36">
      <c r="A474" s="179"/>
      <c r="B474" s="182" t="s">
        <v>466</v>
      </c>
      <c r="C474" s="174" t="s">
        <v>467</v>
      </c>
      <c r="D474" s="161" t="s">
        <v>0</v>
      </c>
      <c r="E474" s="180">
        <v>1</v>
      </c>
      <c r="F474" s="162">
        <f>TRUNC(92.3,2)</f>
        <v>92.3</v>
      </c>
      <c r="G474" s="260">
        <f>TRUNC(E474*F474,2)</f>
        <v>92.3</v>
      </c>
      <c r="H474" s="259"/>
      <c r="I474" s="259"/>
      <c r="J474" s="175"/>
      <c r="K474" s="110"/>
    </row>
    <row r="475" spans="1:11" s="176" customFormat="1" ht="18.75">
      <c r="A475" s="179"/>
      <c r="B475" s="182"/>
      <c r="C475" s="174"/>
      <c r="D475" s="161"/>
      <c r="E475" s="180" t="s">
        <v>5</v>
      </c>
      <c r="F475" s="162"/>
      <c r="G475" s="260">
        <f>TRUNC(SUM(G474:G474),2)</f>
        <v>92.3</v>
      </c>
      <c r="H475" s="259"/>
      <c r="I475" s="259"/>
      <c r="J475" s="175"/>
      <c r="K475" s="110"/>
    </row>
    <row r="476" spans="1:11" s="150" customFormat="1" ht="36">
      <c r="A476" s="211" t="s">
        <v>683</v>
      </c>
      <c r="B476" s="212" t="s">
        <v>299</v>
      </c>
      <c r="C476" s="213" t="s">
        <v>300</v>
      </c>
      <c r="D476" s="156" t="s">
        <v>0</v>
      </c>
      <c r="E476" s="214">
        <v>4</v>
      </c>
      <c r="F476" s="157">
        <f>TRUNC(54.54,2)</f>
        <v>54.54</v>
      </c>
      <c r="G476" s="244">
        <f>TRUNC(F476*1.2882,2)</f>
        <v>70.25</v>
      </c>
      <c r="H476" s="244">
        <f>TRUNC(F476*E476,2)</f>
        <v>218.16</v>
      </c>
      <c r="I476" s="244">
        <f>TRUNC(E476*G476,2)</f>
        <v>281</v>
      </c>
      <c r="J476" s="149"/>
      <c r="K476" s="149"/>
    </row>
    <row r="477" spans="1:11" s="111" customFormat="1" ht="18.75">
      <c r="A477" s="179"/>
      <c r="B477" s="182" t="s">
        <v>301</v>
      </c>
      <c r="C477" s="174" t="s">
        <v>302</v>
      </c>
      <c r="D477" s="161" t="s">
        <v>0</v>
      </c>
      <c r="E477" s="180">
        <v>1</v>
      </c>
      <c r="F477" s="162">
        <f>TRUNC(54.54,2)</f>
        <v>54.54</v>
      </c>
      <c r="G477" s="260">
        <f>TRUNC(E477*F477,2)</f>
        <v>54.54</v>
      </c>
      <c r="H477" s="259"/>
      <c r="I477" s="259"/>
      <c r="J477" s="110"/>
      <c r="K477" s="110"/>
    </row>
    <row r="478" spans="1:11" s="111" customFormat="1" ht="18.75">
      <c r="A478" s="179"/>
      <c r="B478" s="182"/>
      <c r="C478" s="174"/>
      <c r="D478" s="161"/>
      <c r="E478" s="180" t="s">
        <v>5</v>
      </c>
      <c r="F478" s="162"/>
      <c r="G478" s="260">
        <f>TRUNC(SUM(G477:G477),2)</f>
        <v>54.54</v>
      </c>
      <c r="H478" s="259"/>
      <c r="I478" s="259"/>
      <c r="J478" s="110"/>
      <c r="K478" s="110"/>
    </row>
    <row r="479" spans="1:11" s="150" customFormat="1" ht="36">
      <c r="A479" s="211" t="s">
        <v>432</v>
      </c>
      <c r="B479" s="212" t="s">
        <v>1001</v>
      </c>
      <c r="C479" s="213" t="s">
        <v>462</v>
      </c>
      <c r="D479" s="156" t="s">
        <v>0</v>
      </c>
      <c r="E479" s="214">
        <v>4</v>
      </c>
      <c r="F479" s="157">
        <f>TRUNC(G484,2)</f>
        <v>35.75</v>
      </c>
      <c r="G479" s="244">
        <f>TRUNC(F479*1.2882,2)</f>
        <v>46.05</v>
      </c>
      <c r="H479" s="244">
        <f>TRUNC(F479*E479,2)</f>
        <v>143</v>
      </c>
      <c r="I479" s="244">
        <f>TRUNC(E479*G479,2)</f>
        <v>184.2</v>
      </c>
      <c r="J479" s="149"/>
      <c r="K479" s="149"/>
    </row>
    <row r="480" spans="1:11" s="111" customFormat="1" ht="18.75">
      <c r="A480" s="179"/>
      <c r="B480" s="182" t="s">
        <v>1002</v>
      </c>
      <c r="C480" s="174" t="s">
        <v>463</v>
      </c>
      <c r="D480" s="161" t="s">
        <v>0</v>
      </c>
      <c r="E480" s="180">
        <v>1</v>
      </c>
      <c r="F480" s="162">
        <f>TRUNC(31.01,2)</f>
        <v>31.01</v>
      </c>
      <c r="G480" s="260">
        <f>TRUNC(E480*F480,2)</f>
        <v>31.01</v>
      </c>
      <c r="H480" s="259"/>
      <c r="I480" s="259"/>
      <c r="J480" s="110"/>
      <c r="K480" s="110"/>
    </row>
    <row r="481" spans="1:11" s="111" customFormat="1" ht="18.75">
      <c r="A481" s="179"/>
      <c r="B481" s="182" t="s">
        <v>1003</v>
      </c>
      <c r="C481" s="174" t="s">
        <v>293</v>
      </c>
      <c r="D481" s="161" t="s">
        <v>0</v>
      </c>
      <c r="E481" s="180">
        <v>0.0304</v>
      </c>
      <c r="F481" s="162">
        <f>TRUNC(2.93,2)</f>
        <v>2.93</v>
      </c>
      <c r="G481" s="260">
        <f>TRUNC(E481*F481,2)</f>
        <v>0.08</v>
      </c>
      <c r="H481" s="259"/>
      <c r="I481" s="259"/>
      <c r="J481" s="110"/>
      <c r="K481" s="110"/>
    </row>
    <row r="482" spans="1:11" s="111" customFormat="1" ht="18.75">
      <c r="A482" s="179"/>
      <c r="B482" s="182" t="s">
        <v>964</v>
      </c>
      <c r="C482" s="174" t="s">
        <v>286</v>
      </c>
      <c r="D482" s="161" t="s">
        <v>7</v>
      </c>
      <c r="E482" s="180">
        <v>0.05</v>
      </c>
      <c r="F482" s="162">
        <f>TRUNC(19.85,2)</f>
        <v>19.85</v>
      </c>
      <c r="G482" s="260">
        <f>TRUNC(E482*F482,2)</f>
        <v>0.99</v>
      </c>
      <c r="H482" s="259"/>
      <c r="I482" s="259"/>
      <c r="J482" s="110"/>
      <c r="K482" s="110"/>
    </row>
    <row r="483" spans="1:11" s="111" customFormat="1" ht="18.75">
      <c r="A483" s="179"/>
      <c r="B483" s="182" t="s">
        <v>1004</v>
      </c>
      <c r="C483" s="174" t="s">
        <v>265</v>
      </c>
      <c r="D483" s="161" t="s">
        <v>7</v>
      </c>
      <c r="E483" s="180">
        <v>0.15</v>
      </c>
      <c r="F483" s="162">
        <f>TRUNC(24.48,2)</f>
        <v>24.48</v>
      </c>
      <c r="G483" s="260">
        <f>TRUNC(E483*F483,2)</f>
        <v>3.67</v>
      </c>
      <c r="H483" s="259"/>
      <c r="I483" s="259"/>
      <c r="J483" s="110"/>
      <c r="K483" s="110"/>
    </row>
    <row r="484" spans="1:11" s="111" customFormat="1" ht="18.75">
      <c r="A484" s="179"/>
      <c r="B484" s="182"/>
      <c r="C484" s="174"/>
      <c r="D484" s="161"/>
      <c r="E484" s="180" t="s">
        <v>5</v>
      </c>
      <c r="F484" s="162"/>
      <c r="G484" s="260">
        <f>TRUNC(SUM(G480:G483),2)</f>
        <v>35.75</v>
      </c>
      <c r="H484" s="259"/>
      <c r="I484" s="259"/>
      <c r="J484" s="110"/>
      <c r="K484" s="110"/>
    </row>
    <row r="485" spans="1:11" s="150" customFormat="1" ht="36">
      <c r="A485" s="211" t="s">
        <v>437</v>
      </c>
      <c r="B485" s="212" t="s">
        <v>303</v>
      </c>
      <c r="C485" s="213" t="s">
        <v>906</v>
      </c>
      <c r="D485" s="156" t="s">
        <v>0</v>
      </c>
      <c r="E485" s="214">
        <v>3</v>
      </c>
      <c r="F485" s="157">
        <f>TRUNC(G488,2)</f>
        <v>27.33</v>
      </c>
      <c r="G485" s="244">
        <f>TRUNC(F485*1.2882,2)</f>
        <v>35.2</v>
      </c>
      <c r="H485" s="244">
        <f>TRUNC(F485*E485,2)</f>
        <v>81.99</v>
      </c>
      <c r="I485" s="244">
        <f>TRUNC(E485*G485,2)</f>
        <v>105.6</v>
      </c>
      <c r="J485" s="149"/>
      <c r="K485" s="149"/>
    </row>
    <row r="486" spans="1:11" s="111" customFormat="1" ht="18.75">
      <c r="A486" s="179"/>
      <c r="B486" s="182" t="s">
        <v>304</v>
      </c>
      <c r="C486" s="174" t="s">
        <v>305</v>
      </c>
      <c r="D486" s="161" t="s">
        <v>0</v>
      </c>
      <c r="E486" s="180">
        <v>1</v>
      </c>
      <c r="F486" s="162">
        <f>TRUNC(17.33,2)</f>
        <v>17.33</v>
      </c>
      <c r="G486" s="260">
        <f>TRUNC(E486*F486,2)</f>
        <v>17.33</v>
      </c>
      <c r="H486" s="259"/>
      <c r="I486" s="259"/>
      <c r="J486" s="110"/>
      <c r="K486" s="110"/>
    </row>
    <row r="487" spans="1:11" s="111" customFormat="1" ht="18.75">
      <c r="A487" s="179"/>
      <c r="B487" s="182" t="s">
        <v>111</v>
      </c>
      <c r="C487" s="174" t="s">
        <v>306</v>
      </c>
      <c r="D487" s="161" t="s">
        <v>7</v>
      </c>
      <c r="E487" s="180">
        <v>0.515</v>
      </c>
      <c r="F487" s="162">
        <f>TRUNC(19.43,2)</f>
        <v>19.43</v>
      </c>
      <c r="G487" s="260">
        <f>TRUNC(E487*F487,2)</f>
        <v>10</v>
      </c>
      <c r="H487" s="259"/>
      <c r="I487" s="259"/>
      <c r="J487" s="110"/>
      <c r="K487" s="110"/>
    </row>
    <row r="488" spans="1:11" s="111" customFormat="1" ht="18.75">
      <c r="A488" s="179"/>
      <c r="B488" s="182"/>
      <c r="C488" s="174"/>
      <c r="D488" s="161"/>
      <c r="E488" s="180" t="s">
        <v>5</v>
      </c>
      <c r="F488" s="162"/>
      <c r="G488" s="260">
        <f>TRUNC(SUM(G486:G487),2)</f>
        <v>27.33</v>
      </c>
      <c r="H488" s="259"/>
      <c r="I488" s="259"/>
      <c r="J488" s="110"/>
      <c r="K488" s="110"/>
    </row>
    <row r="489" spans="1:11" s="150" customFormat="1" ht="108">
      <c r="A489" s="211" t="s">
        <v>438</v>
      </c>
      <c r="B489" s="212" t="s">
        <v>272</v>
      </c>
      <c r="C489" s="217" t="s">
        <v>277</v>
      </c>
      <c r="D489" s="156" t="s">
        <v>0</v>
      </c>
      <c r="E489" s="214">
        <v>2</v>
      </c>
      <c r="F489" s="157">
        <f>TRUNC(F490+F502,2)</f>
        <v>512.52</v>
      </c>
      <c r="G489" s="244">
        <f>TRUNC(F489*1.2882,2)</f>
        <v>660.22</v>
      </c>
      <c r="H489" s="244">
        <f>TRUNC(F489*E489,2)</f>
        <v>1025.04</v>
      </c>
      <c r="I489" s="244">
        <f>TRUNC(E489*G489,2)</f>
        <v>1320.44</v>
      </c>
      <c r="J489" s="210"/>
      <c r="K489" s="149"/>
    </row>
    <row r="490" spans="1:10" ht="90">
      <c r="A490" s="31"/>
      <c r="B490" s="79" t="s">
        <v>224</v>
      </c>
      <c r="C490" s="80" t="s">
        <v>1005</v>
      </c>
      <c r="D490" s="18" t="s">
        <v>0</v>
      </c>
      <c r="E490" s="169">
        <v>1</v>
      </c>
      <c r="F490" s="19">
        <f>TRUNC(G501,2)</f>
        <v>454.13</v>
      </c>
      <c r="G490" s="239">
        <f aca="true" t="shared" si="22" ref="G490:G500">TRUNC(E490*F490,2)</f>
        <v>454.13</v>
      </c>
      <c r="H490" s="128"/>
      <c r="I490" s="128"/>
      <c r="J490" s="55"/>
    </row>
    <row r="491" spans="1:10" ht="36">
      <c r="A491" s="33"/>
      <c r="B491" s="64" t="s">
        <v>54</v>
      </c>
      <c r="C491" s="78" t="s">
        <v>102</v>
      </c>
      <c r="D491" s="22" t="s">
        <v>46</v>
      </c>
      <c r="E491" s="167">
        <v>0.05</v>
      </c>
      <c r="F491" s="24">
        <f>TRUNC(8.55,2)</f>
        <v>8.55</v>
      </c>
      <c r="G491" s="128">
        <f t="shared" si="22"/>
        <v>0.42</v>
      </c>
      <c r="H491" s="128"/>
      <c r="I491" s="128"/>
      <c r="J491" s="55"/>
    </row>
    <row r="492" spans="1:10" ht="18.75">
      <c r="A492" s="33"/>
      <c r="B492" s="64" t="s">
        <v>108</v>
      </c>
      <c r="C492" s="78" t="s">
        <v>109</v>
      </c>
      <c r="D492" s="22" t="s">
        <v>52</v>
      </c>
      <c r="E492" s="167">
        <v>1.4</v>
      </c>
      <c r="F492" s="24">
        <f>TRUNC(6.75,2)</f>
        <v>6.75</v>
      </c>
      <c r="G492" s="128">
        <f t="shared" si="22"/>
        <v>9.45</v>
      </c>
      <c r="H492" s="128"/>
      <c r="I492" s="128"/>
      <c r="J492" s="55"/>
    </row>
    <row r="493" spans="1:10" ht="18.75">
      <c r="A493" s="33"/>
      <c r="B493" s="64" t="s">
        <v>225</v>
      </c>
      <c r="C493" s="78" t="s">
        <v>226</v>
      </c>
      <c r="D493" s="22" t="s">
        <v>46</v>
      </c>
      <c r="E493" s="167">
        <v>7.7</v>
      </c>
      <c r="F493" s="24">
        <f>TRUNC(4.1384,2)</f>
        <v>4.13</v>
      </c>
      <c r="G493" s="128">
        <f t="shared" si="22"/>
        <v>31.8</v>
      </c>
      <c r="H493" s="128"/>
      <c r="I493" s="128"/>
      <c r="J493" s="55"/>
    </row>
    <row r="494" spans="1:10" ht="36">
      <c r="A494" s="33"/>
      <c r="B494" s="64" t="s">
        <v>40</v>
      </c>
      <c r="C494" s="78" t="s">
        <v>41</v>
      </c>
      <c r="D494" s="22" t="s">
        <v>7</v>
      </c>
      <c r="E494" s="167">
        <v>4.1303</v>
      </c>
      <c r="F494" s="24">
        <f>TRUNC(13.08,2)</f>
        <v>13.08</v>
      </c>
      <c r="G494" s="128">
        <f t="shared" si="22"/>
        <v>54.02</v>
      </c>
      <c r="H494" s="128"/>
      <c r="I494" s="128"/>
      <c r="J494" s="55"/>
    </row>
    <row r="495" spans="1:10" ht="18.75">
      <c r="A495" s="33"/>
      <c r="B495" s="64" t="s">
        <v>43</v>
      </c>
      <c r="C495" s="78" t="s">
        <v>100</v>
      </c>
      <c r="D495" s="22" t="s">
        <v>7</v>
      </c>
      <c r="E495" s="167">
        <v>5.2633</v>
      </c>
      <c r="F495" s="24">
        <f>TRUNC(18.05,2)</f>
        <v>18.05</v>
      </c>
      <c r="G495" s="128">
        <f t="shared" si="22"/>
        <v>95</v>
      </c>
      <c r="H495" s="128"/>
      <c r="I495" s="128"/>
      <c r="J495" s="55"/>
    </row>
    <row r="496" spans="1:10" ht="36">
      <c r="A496" s="33"/>
      <c r="B496" s="64" t="s">
        <v>84</v>
      </c>
      <c r="C496" s="78" t="s">
        <v>267</v>
      </c>
      <c r="D496" s="22" t="s">
        <v>7</v>
      </c>
      <c r="E496" s="167">
        <v>0.8240000000000001</v>
      </c>
      <c r="F496" s="24">
        <f>TRUNC(18.05,2)</f>
        <v>18.05</v>
      </c>
      <c r="G496" s="128">
        <f t="shared" si="22"/>
        <v>14.87</v>
      </c>
      <c r="H496" s="128"/>
      <c r="I496" s="128"/>
      <c r="J496" s="55"/>
    </row>
    <row r="497" spans="1:10" ht="18.75">
      <c r="A497" s="33"/>
      <c r="B497" s="64" t="s">
        <v>227</v>
      </c>
      <c r="C497" s="78" t="s">
        <v>268</v>
      </c>
      <c r="D497" s="22" t="s">
        <v>44</v>
      </c>
      <c r="E497" s="167">
        <v>2.02</v>
      </c>
      <c r="F497" s="24">
        <f>TRUNC(21.6731,2)</f>
        <v>21.67</v>
      </c>
      <c r="G497" s="128">
        <f t="shared" si="22"/>
        <v>43.77</v>
      </c>
      <c r="H497" s="128"/>
      <c r="I497" s="128"/>
      <c r="J497" s="55"/>
    </row>
    <row r="498" spans="1:11" s="73" customFormat="1" ht="18.75">
      <c r="A498" s="67"/>
      <c r="B498" s="106" t="s">
        <v>907</v>
      </c>
      <c r="C498" s="107" t="s">
        <v>908</v>
      </c>
      <c r="D498" s="68" t="s">
        <v>44</v>
      </c>
      <c r="E498" s="170">
        <v>2.56</v>
      </c>
      <c r="F498" s="61">
        <f>TRUNC(F502,2)</f>
        <v>58.39</v>
      </c>
      <c r="G498" s="145">
        <f t="shared" si="22"/>
        <v>149.47</v>
      </c>
      <c r="H498" s="145"/>
      <c r="I498" s="145"/>
      <c r="J498" s="69"/>
      <c r="K498" s="63"/>
    </row>
    <row r="499" spans="1:10" ht="18.75">
      <c r="A499" s="33"/>
      <c r="B499" s="64" t="s">
        <v>115</v>
      </c>
      <c r="C499" s="78" t="s">
        <v>276</v>
      </c>
      <c r="D499" s="22" t="s">
        <v>39</v>
      </c>
      <c r="E499" s="167">
        <v>0.11</v>
      </c>
      <c r="F499" s="24">
        <f>TRUNC(205.6994,2)</f>
        <v>205.69</v>
      </c>
      <c r="G499" s="128">
        <f t="shared" si="22"/>
        <v>22.62</v>
      </c>
      <c r="H499" s="128"/>
      <c r="I499" s="128"/>
      <c r="J499" s="55"/>
    </row>
    <row r="500" spans="1:10" ht="18.75">
      <c r="A500" s="33"/>
      <c r="B500" s="64" t="s">
        <v>153</v>
      </c>
      <c r="C500" s="78" t="s">
        <v>269</v>
      </c>
      <c r="D500" s="22" t="s">
        <v>39</v>
      </c>
      <c r="E500" s="167">
        <v>0.17</v>
      </c>
      <c r="F500" s="24">
        <f>TRUNC(192.4416,2)</f>
        <v>192.44</v>
      </c>
      <c r="G500" s="128">
        <f t="shared" si="22"/>
        <v>32.71</v>
      </c>
      <c r="H500" s="128"/>
      <c r="I500" s="128"/>
      <c r="J500" s="55"/>
    </row>
    <row r="501" spans="1:10" ht="18.75">
      <c r="A501" s="33"/>
      <c r="B501" s="64"/>
      <c r="C501" s="78"/>
      <c r="D501" s="22"/>
      <c r="E501" s="167" t="s">
        <v>5</v>
      </c>
      <c r="F501" s="24"/>
      <c r="G501" s="128">
        <f>TRUNC(SUM(G491:G500),2)</f>
        <v>454.13</v>
      </c>
      <c r="H501" s="128"/>
      <c r="I501" s="128"/>
      <c r="J501" s="55"/>
    </row>
    <row r="502" spans="1:11" ht="72">
      <c r="A502" s="33"/>
      <c r="B502" s="64" t="s">
        <v>228</v>
      </c>
      <c r="C502" s="78" t="s">
        <v>909</v>
      </c>
      <c r="D502" s="22" t="s">
        <v>44</v>
      </c>
      <c r="E502" s="167">
        <v>1</v>
      </c>
      <c r="F502" s="24">
        <f>TRUNC(G508,2)</f>
        <v>58.39</v>
      </c>
      <c r="G502" s="128">
        <f aca="true" t="shared" si="23" ref="G502:G507">TRUNC(E502*F502,2)</f>
        <v>58.39</v>
      </c>
      <c r="H502" s="128"/>
      <c r="I502" s="128"/>
      <c r="J502" s="55"/>
      <c r="K502" s="55"/>
    </row>
    <row r="503" spans="1:10" ht="18.75">
      <c r="A503" s="33"/>
      <c r="B503" s="64" t="s">
        <v>229</v>
      </c>
      <c r="C503" s="78" t="s">
        <v>230</v>
      </c>
      <c r="D503" s="22" t="s">
        <v>0</v>
      </c>
      <c r="E503" s="167">
        <v>13</v>
      </c>
      <c r="F503" s="24">
        <f>TRUNC(1.4,2)</f>
        <v>1.4</v>
      </c>
      <c r="G503" s="128">
        <f t="shared" si="23"/>
        <v>18.2</v>
      </c>
      <c r="H503" s="128"/>
      <c r="I503" s="128"/>
      <c r="J503" s="55"/>
    </row>
    <row r="504" spans="1:10" ht="36">
      <c r="A504" s="33"/>
      <c r="B504" s="64" t="s">
        <v>40</v>
      </c>
      <c r="C504" s="78" t="s">
        <v>41</v>
      </c>
      <c r="D504" s="22" t="s">
        <v>7</v>
      </c>
      <c r="E504" s="167">
        <v>0.927</v>
      </c>
      <c r="F504" s="24">
        <f>TRUNC(13.08,2)</f>
        <v>13.08</v>
      </c>
      <c r="G504" s="128">
        <f t="shared" si="23"/>
        <v>12.12</v>
      </c>
      <c r="H504" s="128"/>
      <c r="I504" s="128"/>
      <c r="J504" s="55"/>
    </row>
    <row r="505" spans="1:10" ht="18.75">
      <c r="A505" s="33"/>
      <c r="B505" s="64" t="s">
        <v>43</v>
      </c>
      <c r="C505" s="78" t="s">
        <v>100</v>
      </c>
      <c r="D505" s="22" t="s">
        <v>7</v>
      </c>
      <c r="E505" s="167">
        <v>0.927</v>
      </c>
      <c r="F505" s="24">
        <f>TRUNC(18.05,2)</f>
        <v>18.05</v>
      </c>
      <c r="G505" s="128">
        <f t="shared" si="23"/>
        <v>16.73</v>
      </c>
      <c r="H505" s="128"/>
      <c r="I505" s="128"/>
      <c r="J505" s="55"/>
    </row>
    <row r="506" spans="1:10" ht="18.75">
      <c r="A506" s="33"/>
      <c r="B506" s="64" t="s">
        <v>131</v>
      </c>
      <c r="C506" s="78" t="s">
        <v>270</v>
      </c>
      <c r="D506" s="22" t="s">
        <v>39</v>
      </c>
      <c r="E506" s="167">
        <v>0.04</v>
      </c>
      <c r="F506" s="24">
        <f>TRUNC(220.2847,2)</f>
        <v>220.28</v>
      </c>
      <c r="G506" s="128">
        <f t="shared" si="23"/>
        <v>8.81</v>
      </c>
      <c r="H506" s="128"/>
      <c r="I506" s="128"/>
      <c r="J506" s="55"/>
    </row>
    <row r="507" spans="1:10" ht="18.75">
      <c r="A507" s="33"/>
      <c r="B507" s="64" t="s">
        <v>114</v>
      </c>
      <c r="C507" s="78" t="s">
        <v>271</v>
      </c>
      <c r="D507" s="22" t="s">
        <v>39</v>
      </c>
      <c r="E507" s="167">
        <v>0.01</v>
      </c>
      <c r="F507" s="24">
        <f>TRUNC(253.604,2)</f>
        <v>253.6</v>
      </c>
      <c r="G507" s="128">
        <f t="shared" si="23"/>
        <v>2.53</v>
      </c>
      <c r="H507" s="128"/>
      <c r="I507" s="128"/>
      <c r="J507" s="55"/>
    </row>
    <row r="508" spans="1:10" ht="18.75">
      <c r="A508" s="33"/>
      <c r="B508" s="64"/>
      <c r="C508" s="78"/>
      <c r="D508" s="22" t="s">
        <v>7</v>
      </c>
      <c r="E508" s="167" t="s">
        <v>5</v>
      </c>
      <c r="F508" s="24">
        <f>TRUNC(17.3,2)</f>
        <v>17.3</v>
      </c>
      <c r="G508" s="128">
        <f>TRUNC(SUM(G503:G507),2)</f>
        <v>58.39</v>
      </c>
      <c r="H508" s="128"/>
      <c r="I508" s="128"/>
      <c r="J508" s="55"/>
    </row>
    <row r="509" spans="1:11" s="150" customFormat="1" ht="72">
      <c r="A509" s="211" t="s">
        <v>439</v>
      </c>
      <c r="B509" s="216" t="s">
        <v>273</v>
      </c>
      <c r="C509" s="217" t="s">
        <v>1006</v>
      </c>
      <c r="D509" s="156" t="s">
        <v>0</v>
      </c>
      <c r="E509" s="214">
        <v>2</v>
      </c>
      <c r="F509" s="157">
        <f>TRUNC(G514,2)</f>
        <v>194.09</v>
      </c>
      <c r="G509" s="244">
        <f>TRUNC(F509*1.2882,2)</f>
        <v>250.02</v>
      </c>
      <c r="H509" s="244">
        <f>TRUNC(F509*E509,2)</f>
        <v>388.18</v>
      </c>
      <c r="I509" s="244">
        <f>TRUNC(E509*G509,2)</f>
        <v>500.04</v>
      </c>
      <c r="J509" s="149"/>
      <c r="K509" s="149"/>
    </row>
    <row r="510" spans="1:11" s="111" customFormat="1" ht="36">
      <c r="A510" s="179"/>
      <c r="B510" s="181" t="s">
        <v>274</v>
      </c>
      <c r="C510" s="174" t="s">
        <v>275</v>
      </c>
      <c r="D510" s="161" t="s">
        <v>0</v>
      </c>
      <c r="E510" s="180">
        <v>1</v>
      </c>
      <c r="F510" s="162">
        <f>TRUNC(145,2)</f>
        <v>145</v>
      </c>
      <c r="G510" s="260">
        <f>TRUNC(E510*F510,2)</f>
        <v>145</v>
      </c>
      <c r="H510" s="259"/>
      <c r="I510" s="259"/>
      <c r="J510" s="110"/>
      <c r="K510" s="110"/>
    </row>
    <row r="511" spans="1:11" s="111" customFormat="1" ht="36">
      <c r="A511" s="179"/>
      <c r="B511" s="181" t="s">
        <v>40</v>
      </c>
      <c r="C511" s="174" t="s">
        <v>41</v>
      </c>
      <c r="D511" s="161" t="s">
        <v>7</v>
      </c>
      <c r="E511" s="180">
        <v>1.545</v>
      </c>
      <c r="F511" s="162">
        <f>TRUNC(13.08,2)</f>
        <v>13.08</v>
      </c>
      <c r="G511" s="260">
        <f>TRUNC(E511*F511,2)</f>
        <v>20.2</v>
      </c>
      <c r="H511" s="259"/>
      <c r="I511" s="259"/>
      <c r="J511" s="110"/>
      <c r="K511" s="110"/>
    </row>
    <row r="512" spans="1:11" s="111" customFormat="1" ht="18.75">
      <c r="A512" s="179"/>
      <c r="B512" s="181" t="s">
        <v>43</v>
      </c>
      <c r="C512" s="174" t="s">
        <v>100</v>
      </c>
      <c r="D512" s="161" t="s">
        <v>7</v>
      </c>
      <c r="E512" s="180">
        <v>1.545</v>
      </c>
      <c r="F512" s="162">
        <f>TRUNC(18.05,2)</f>
        <v>18.05</v>
      </c>
      <c r="G512" s="260">
        <f>TRUNC(E512*F512,2)</f>
        <v>27.88</v>
      </c>
      <c r="H512" s="259"/>
      <c r="I512" s="259"/>
      <c r="J512" s="110"/>
      <c r="K512" s="110"/>
    </row>
    <row r="513" spans="1:11" s="111" customFormat="1" ht="18.75">
      <c r="A513" s="179"/>
      <c r="B513" s="181" t="s">
        <v>114</v>
      </c>
      <c r="C513" s="174" t="s">
        <v>271</v>
      </c>
      <c r="D513" s="161" t="s">
        <v>39</v>
      </c>
      <c r="E513" s="180">
        <v>0.004</v>
      </c>
      <c r="F513" s="162">
        <f>TRUNC(253.604,2)</f>
        <v>253.6</v>
      </c>
      <c r="G513" s="260">
        <f>TRUNC(E513*F513,2)</f>
        <v>1.01</v>
      </c>
      <c r="H513" s="259"/>
      <c r="I513" s="259"/>
      <c r="J513" s="110"/>
      <c r="K513" s="110"/>
    </row>
    <row r="514" spans="1:11" s="111" customFormat="1" ht="18.75">
      <c r="A514" s="179"/>
      <c r="B514" s="181"/>
      <c r="C514" s="174"/>
      <c r="D514" s="161"/>
      <c r="E514" s="180" t="s">
        <v>5</v>
      </c>
      <c r="F514" s="162"/>
      <c r="G514" s="260">
        <f>TRUNC(SUM(G510:G513),2)</f>
        <v>194.09</v>
      </c>
      <c r="H514" s="259"/>
      <c r="I514" s="259"/>
      <c r="J514" s="110"/>
      <c r="K514" s="110"/>
    </row>
    <row r="515" spans="1:11" s="150" customFormat="1" ht="72">
      <c r="A515" s="211" t="s">
        <v>440</v>
      </c>
      <c r="B515" s="222" t="s">
        <v>752</v>
      </c>
      <c r="C515" s="217" t="s">
        <v>753</v>
      </c>
      <c r="D515" s="156" t="s">
        <v>0</v>
      </c>
      <c r="E515" s="214">
        <v>1</v>
      </c>
      <c r="F515" s="157">
        <f>TRUNC(F516+F523,2)</f>
        <v>647.66</v>
      </c>
      <c r="G515" s="244">
        <f>TRUNC(F515*1.2882,2)</f>
        <v>834.31</v>
      </c>
      <c r="H515" s="244">
        <f>TRUNC(F515*E515,2)</f>
        <v>647.66</v>
      </c>
      <c r="I515" s="244">
        <f>TRUNC(E515*G515,2)</f>
        <v>834.31</v>
      </c>
      <c r="J515" s="149"/>
      <c r="K515" s="149"/>
    </row>
    <row r="516" spans="1:9" ht="54">
      <c r="A516" s="31"/>
      <c r="B516" s="79" t="s">
        <v>734</v>
      </c>
      <c r="C516" s="80" t="s">
        <v>735</v>
      </c>
      <c r="D516" s="18" t="s">
        <v>0</v>
      </c>
      <c r="E516" s="169">
        <v>1</v>
      </c>
      <c r="F516" s="32">
        <f>TRUNC(G522,2)</f>
        <v>450.25</v>
      </c>
      <c r="G516" s="239">
        <f aca="true" t="shared" si="24" ref="G516:G521">TRUNC(E516*F516,2)</f>
        <v>450.25</v>
      </c>
      <c r="H516" s="128"/>
      <c r="I516" s="128"/>
    </row>
    <row r="517" spans="1:9" ht="18.75">
      <c r="A517" s="33"/>
      <c r="B517" s="64" t="s">
        <v>736</v>
      </c>
      <c r="C517" s="78" t="s">
        <v>737</v>
      </c>
      <c r="D517" s="22" t="s">
        <v>0</v>
      </c>
      <c r="E517" s="167">
        <v>1</v>
      </c>
      <c r="F517" s="61">
        <f>TRUNC(34.5,2)</f>
        <v>34.5</v>
      </c>
      <c r="G517" s="128">
        <f t="shared" si="24"/>
        <v>34.5</v>
      </c>
      <c r="H517" s="128"/>
      <c r="I517" s="128"/>
    </row>
    <row r="518" spans="1:9" ht="18.75">
      <c r="A518" s="33"/>
      <c r="B518" s="64" t="s">
        <v>738</v>
      </c>
      <c r="C518" s="78" t="s">
        <v>739</v>
      </c>
      <c r="D518" s="22" t="s">
        <v>0</v>
      </c>
      <c r="E518" s="167">
        <v>1</v>
      </c>
      <c r="F518" s="61">
        <f>TRUNC(259.97,2)</f>
        <v>259.97</v>
      </c>
      <c r="G518" s="128">
        <f t="shared" si="24"/>
        <v>259.97</v>
      </c>
      <c r="H518" s="128"/>
      <c r="I518" s="128"/>
    </row>
    <row r="519" spans="1:9" ht="18.75">
      <c r="A519" s="33"/>
      <c r="B519" s="64" t="s">
        <v>740</v>
      </c>
      <c r="C519" s="78" t="s">
        <v>741</v>
      </c>
      <c r="D519" s="22" t="s">
        <v>0</v>
      </c>
      <c r="E519" s="167">
        <v>1</v>
      </c>
      <c r="F519" s="61">
        <f>TRUNC(54.82,2)</f>
        <v>54.82</v>
      </c>
      <c r="G519" s="128">
        <f t="shared" si="24"/>
        <v>54.82</v>
      </c>
      <c r="H519" s="128"/>
      <c r="I519" s="128"/>
    </row>
    <row r="520" spans="1:9" ht="18.75">
      <c r="A520" s="33"/>
      <c r="B520" s="64" t="s">
        <v>742</v>
      </c>
      <c r="C520" s="78" t="s">
        <v>743</v>
      </c>
      <c r="D520" s="22" t="s">
        <v>0</v>
      </c>
      <c r="E520" s="167">
        <v>1</v>
      </c>
      <c r="F520" s="61">
        <f>TRUNC(30.61,2)</f>
        <v>30.61</v>
      </c>
      <c r="G520" s="128">
        <f t="shared" si="24"/>
        <v>30.61</v>
      </c>
      <c r="H520" s="128"/>
      <c r="I520" s="128"/>
    </row>
    <row r="521" spans="1:9" ht="18.75">
      <c r="A521" s="33"/>
      <c r="B521" s="64" t="s">
        <v>297</v>
      </c>
      <c r="C521" s="78" t="s">
        <v>298</v>
      </c>
      <c r="D521" s="22" t="s">
        <v>0</v>
      </c>
      <c r="E521" s="167">
        <v>1</v>
      </c>
      <c r="F521" s="61">
        <f>TRUNC(70.35,2)</f>
        <v>70.35</v>
      </c>
      <c r="G521" s="128">
        <f t="shared" si="24"/>
        <v>70.35</v>
      </c>
      <c r="H521" s="128"/>
      <c r="I521" s="128"/>
    </row>
    <row r="522" spans="1:9" ht="18.75">
      <c r="A522" s="33"/>
      <c r="B522" s="64"/>
      <c r="C522" s="78"/>
      <c r="D522" s="22"/>
      <c r="E522" s="167" t="s">
        <v>5</v>
      </c>
      <c r="F522" s="61"/>
      <c r="G522" s="128">
        <f>TRUNC(SUM(G517:G521),2)</f>
        <v>450.25</v>
      </c>
      <c r="H522" s="128"/>
      <c r="I522" s="128"/>
    </row>
    <row r="523" spans="1:9" ht="54">
      <c r="A523" s="33"/>
      <c r="B523" s="64" t="s">
        <v>744</v>
      </c>
      <c r="C523" s="78" t="s">
        <v>745</v>
      </c>
      <c r="D523" s="22" t="s">
        <v>0</v>
      </c>
      <c r="E523" s="167">
        <v>1</v>
      </c>
      <c r="F523" s="61">
        <v>197.41</v>
      </c>
      <c r="G523" s="128">
        <f aca="true" t="shared" si="25" ref="G523:G536">TRUNC(E523*F523,2)</f>
        <v>197.41</v>
      </c>
      <c r="H523" s="128"/>
      <c r="I523" s="128"/>
    </row>
    <row r="524" spans="1:9" ht="18.75">
      <c r="A524" s="33"/>
      <c r="B524" s="64" t="s">
        <v>706</v>
      </c>
      <c r="C524" s="78" t="s">
        <v>707</v>
      </c>
      <c r="D524" s="22" t="s">
        <v>0</v>
      </c>
      <c r="E524" s="167">
        <v>1</v>
      </c>
      <c r="F524" s="61">
        <f>TRUNC(3.5907,2)</f>
        <v>3.59</v>
      </c>
      <c r="G524" s="128">
        <f t="shared" si="25"/>
        <v>3.59</v>
      </c>
      <c r="H524" s="128"/>
      <c r="I524" s="128"/>
    </row>
    <row r="525" spans="1:9" ht="18.75">
      <c r="A525" s="33"/>
      <c r="B525" s="64" t="s">
        <v>710</v>
      </c>
      <c r="C525" s="78" t="s">
        <v>711</v>
      </c>
      <c r="D525" s="22" t="s">
        <v>0</v>
      </c>
      <c r="E525" s="167">
        <v>1</v>
      </c>
      <c r="F525" s="61">
        <f>TRUNC(0.4746,2)</f>
        <v>0.47</v>
      </c>
      <c r="G525" s="128">
        <f t="shared" si="25"/>
        <v>0.47</v>
      </c>
      <c r="H525" s="128"/>
      <c r="I525" s="128"/>
    </row>
    <row r="526" spans="1:9" ht="18.75">
      <c r="A526" s="33"/>
      <c r="B526" s="64" t="s">
        <v>712</v>
      </c>
      <c r="C526" s="78" t="s">
        <v>713</v>
      </c>
      <c r="D526" s="22" t="s">
        <v>0</v>
      </c>
      <c r="E526" s="167">
        <v>1</v>
      </c>
      <c r="F526" s="61">
        <f>TRUNC(0.7532,2)</f>
        <v>0.75</v>
      </c>
      <c r="G526" s="128">
        <f t="shared" si="25"/>
        <v>0.75</v>
      </c>
      <c r="H526" s="128"/>
      <c r="I526" s="128"/>
    </row>
    <row r="527" spans="1:9" ht="18.75">
      <c r="A527" s="33"/>
      <c r="B527" s="64" t="s">
        <v>266</v>
      </c>
      <c r="C527" s="78" t="s">
        <v>714</v>
      </c>
      <c r="D527" s="22" t="s">
        <v>0</v>
      </c>
      <c r="E527" s="167">
        <v>0.04</v>
      </c>
      <c r="F527" s="61">
        <f>TRUNC(34.03,2)</f>
        <v>34.03</v>
      </c>
      <c r="G527" s="128">
        <f t="shared" si="25"/>
        <v>1.36</v>
      </c>
      <c r="H527" s="128"/>
      <c r="I527" s="128"/>
    </row>
    <row r="528" spans="1:9" ht="18.75">
      <c r="A528" s="33"/>
      <c r="B528" s="64" t="s">
        <v>279</v>
      </c>
      <c r="C528" s="78" t="s">
        <v>280</v>
      </c>
      <c r="D528" s="22" t="s">
        <v>0</v>
      </c>
      <c r="E528" s="167">
        <v>0.5</v>
      </c>
      <c r="F528" s="61">
        <f>TRUNC(11.1022,2)</f>
        <v>11.1</v>
      </c>
      <c r="G528" s="128">
        <f t="shared" si="25"/>
        <v>5.55</v>
      </c>
      <c r="H528" s="128"/>
      <c r="I528" s="128"/>
    </row>
    <row r="529" spans="1:9" ht="18.75">
      <c r="A529" s="33"/>
      <c r="B529" s="64" t="s">
        <v>746</v>
      </c>
      <c r="C529" s="78" t="s">
        <v>747</v>
      </c>
      <c r="D529" s="22" t="s">
        <v>0</v>
      </c>
      <c r="E529" s="167">
        <v>1</v>
      </c>
      <c r="F529" s="61">
        <f>TRUNC(3.0954,2)</f>
        <v>3.09</v>
      </c>
      <c r="G529" s="128">
        <f t="shared" si="25"/>
        <v>3.09</v>
      </c>
      <c r="H529" s="128"/>
      <c r="I529" s="128"/>
    </row>
    <row r="530" spans="1:9" ht="18.75">
      <c r="A530" s="33"/>
      <c r="B530" s="64" t="s">
        <v>748</v>
      </c>
      <c r="C530" s="78" t="s">
        <v>749</v>
      </c>
      <c r="D530" s="22" t="s">
        <v>0</v>
      </c>
      <c r="E530" s="167">
        <v>3</v>
      </c>
      <c r="F530" s="61">
        <f>TRUNC(0.9389,2)</f>
        <v>0.93</v>
      </c>
      <c r="G530" s="128">
        <f t="shared" si="25"/>
        <v>2.79</v>
      </c>
      <c r="H530" s="128"/>
      <c r="I530" s="128"/>
    </row>
    <row r="531" spans="1:9" ht="18.75">
      <c r="A531" s="33"/>
      <c r="B531" s="64" t="s">
        <v>750</v>
      </c>
      <c r="C531" s="78" t="s">
        <v>751</v>
      </c>
      <c r="D531" s="22" t="s">
        <v>0</v>
      </c>
      <c r="E531" s="167">
        <v>1</v>
      </c>
      <c r="F531" s="61">
        <f>TRUNC(5.9329,2)</f>
        <v>5.93</v>
      </c>
      <c r="G531" s="128">
        <f t="shared" si="25"/>
        <v>5.93</v>
      </c>
      <c r="H531" s="128"/>
      <c r="I531" s="128"/>
    </row>
    <row r="532" spans="1:9" ht="18.75">
      <c r="A532" s="33"/>
      <c r="B532" s="64" t="s">
        <v>262</v>
      </c>
      <c r="C532" s="78" t="s">
        <v>263</v>
      </c>
      <c r="D532" s="22" t="s">
        <v>0</v>
      </c>
      <c r="E532" s="167">
        <v>0.5</v>
      </c>
      <c r="F532" s="61">
        <f>TRUNC(29.9326,2)</f>
        <v>29.93</v>
      </c>
      <c r="G532" s="128">
        <f t="shared" si="25"/>
        <v>14.96</v>
      </c>
      <c r="H532" s="128"/>
      <c r="I532" s="128"/>
    </row>
    <row r="533" spans="1:9" ht="18.75">
      <c r="A533" s="33"/>
      <c r="B533" s="64" t="s">
        <v>717</v>
      </c>
      <c r="C533" s="78" t="s">
        <v>718</v>
      </c>
      <c r="D533" s="22" t="s">
        <v>0</v>
      </c>
      <c r="E533" s="167">
        <v>0.5</v>
      </c>
      <c r="F533" s="61">
        <f>TRUNC(0.72,2)</f>
        <v>0.72</v>
      </c>
      <c r="G533" s="128">
        <f t="shared" si="25"/>
        <v>0.36</v>
      </c>
      <c r="H533" s="128"/>
      <c r="I533" s="128"/>
    </row>
    <row r="534" spans="1:9" ht="18.75">
      <c r="A534" s="33"/>
      <c r="B534" s="64" t="s">
        <v>150</v>
      </c>
      <c r="C534" s="78" t="s">
        <v>151</v>
      </c>
      <c r="D534" s="22" t="s">
        <v>0</v>
      </c>
      <c r="E534" s="167">
        <v>0.25</v>
      </c>
      <c r="F534" s="61">
        <f>TRUNC(3.17,2)</f>
        <v>3.17</v>
      </c>
      <c r="G534" s="128">
        <f t="shared" si="25"/>
        <v>0.79</v>
      </c>
      <c r="H534" s="128"/>
      <c r="I534" s="128"/>
    </row>
    <row r="535" spans="1:9" ht="36">
      <c r="A535" s="33"/>
      <c r="B535" s="64" t="s">
        <v>40</v>
      </c>
      <c r="C535" s="78" t="s">
        <v>41</v>
      </c>
      <c r="D535" s="22" t="s">
        <v>7</v>
      </c>
      <c r="E535" s="167">
        <v>5.665</v>
      </c>
      <c r="F535" s="61">
        <f>TRUNC(13.08,2)</f>
        <v>13.08</v>
      </c>
      <c r="G535" s="128">
        <f t="shared" si="25"/>
        <v>74.09</v>
      </c>
      <c r="H535" s="128"/>
      <c r="I535" s="128"/>
    </row>
    <row r="536" spans="1:9" ht="36">
      <c r="A536" s="33"/>
      <c r="B536" s="64" t="s">
        <v>76</v>
      </c>
      <c r="C536" s="78" t="s">
        <v>264</v>
      </c>
      <c r="D536" s="22" t="s">
        <v>7</v>
      </c>
      <c r="E536" s="167">
        <v>4.635</v>
      </c>
      <c r="F536" s="61">
        <f>TRUNC(18.05,2)</f>
        <v>18.05</v>
      </c>
      <c r="G536" s="128">
        <f t="shared" si="25"/>
        <v>83.66</v>
      </c>
      <c r="H536" s="128"/>
      <c r="I536" s="128"/>
    </row>
    <row r="537" spans="1:9" ht="18.75">
      <c r="A537" s="33"/>
      <c r="B537" s="64"/>
      <c r="C537" s="78"/>
      <c r="D537" s="22"/>
      <c r="E537" s="167" t="s">
        <v>5</v>
      </c>
      <c r="F537" s="61"/>
      <c r="G537" s="128">
        <f>TRUNC(SUM(G524:G536),2)</f>
        <v>197.39</v>
      </c>
      <c r="H537" s="128"/>
      <c r="I537" s="128"/>
    </row>
    <row r="538" spans="1:11" s="190" customFormat="1" ht="36">
      <c r="A538" s="218" t="s">
        <v>450</v>
      </c>
      <c r="B538" s="221" t="s">
        <v>911</v>
      </c>
      <c r="C538" s="219" t="s">
        <v>757</v>
      </c>
      <c r="D538" s="187" t="s">
        <v>52</v>
      </c>
      <c r="E538" s="220">
        <v>1.5</v>
      </c>
      <c r="F538" s="188">
        <f>G539</f>
        <v>224.53</v>
      </c>
      <c r="G538" s="244">
        <f>TRUNC(F538*1.2882,2)</f>
        <v>289.23</v>
      </c>
      <c r="H538" s="244">
        <f>TRUNC(F538*E538,2)</f>
        <v>336.79</v>
      </c>
      <c r="I538" s="244">
        <f>TRUNC(E538*G538,2)</f>
        <v>433.84</v>
      </c>
      <c r="J538" s="189"/>
      <c r="K538" s="189"/>
    </row>
    <row r="539" spans="1:9" ht="54">
      <c r="A539" s="31"/>
      <c r="B539" s="79" t="s">
        <v>754</v>
      </c>
      <c r="C539" s="80" t="s">
        <v>910</v>
      </c>
      <c r="D539" s="18" t="s">
        <v>52</v>
      </c>
      <c r="E539" s="169">
        <v>0.33</v>
      </c>
      <c r="F539" s="19">
        <f>TRUNC(G545,2)</f>
        <v>680.42</v>
      </c>
      <c r="G539" s="241">
        <f>TRUNC(E539*F539,2)</f>
        <v>224.53</v>
      </c>
      <c r="H539" s="145"/>
      <c r="I539" s="145"/>
    </row>
    <row r="540" spans="1:9" ht="36">
      <c r="A540" s="33"/>
      <c r="B540" s="64" t="s">
        <v>755</v>
      </c>
      <c r="C540" s="78" t="s">
        <v>756</v>
      </c>
      <c r="D540" s="22" t="s">
        <v>52</v>
      </c>
      <c r="E540" s="167">
        <v>1</v>
      </c>
      <c r="F540" s="24">
        <f>TRUNC(664.4,2)</f>
        <v>664.4</v>
      </c>
      <c r="G540" s="145">
        <f>TRUNC(E540*F540,2)</f>
        <v>664.4</v>
      </c>
      <c r="H540" s="145"/>
      <c r="I540" s="145"/>
    </row>
    <row r="541" spans="1:9" ht="36">
      <c r="A541" s="33"/>
      <c r="B541" s="64" t="s">
        <v>40</v>
      </c>
      <c r="C541" s="78" t="s">
        <v>41</v>
      </c>
      <c r="D541" s="22" t="s">
        <v>7</v>
      </c>
      <c r="E541" s="167">
        <v>0.515</v>
      </c>
      <c r="F541" s="24">
        <f>TRUNC(13.08,2)</f>
        <v>13.08</v>
      </c>
      <c r="G541" s="145">
        <f>TRUNC(E541*F541,2)</f>
        <v>6.73</v>
      </c>
      <c r="H541" s="145"/>
      <c r="I541" s="145"/>
    </row>
    <row r="542" spans="1:9" ht="18.75">
      <c r="A542" s="33"/>
      <c r="B542" s="64" t="s">
        <v>43</v>
      </c>
      <c r="C542" s="78" t="s">
        <v>100</v>
      </c>
      <c r="D542" s="22" t="s">
        <v>7</v>
      </c>
      <c r="E542" s="167">
        <v>0.515</v>
      </c>
      <c r="F542" s="24">
        <f>TRUNC(18.05,2)</f>
        <v>18.05</v>
      </c>
      <c r="G542" s="145">
        <f>TRUNC(E542*F542,2)</f>
        <v>9.29</v>
      </c>
      <c r="H542" s="145"/>
      <c r="I542" s="145"/>
    </row>
    <row r="543" spans="1:9" ht="18.75">
      <c r="A543" s="33"/>
      <c r="B543" s="64" t="s">
        <v>129</v>
      </c>
      <c r="C543" s="78" t="s">
        <v>430</v>
      </c>
      <c r="D543" s="22" t="s">
        <v>44</v>
      </c>
      <c r="E543" s="167">
        <v>0</v>
      </c>
      <c r="F543" s="24">
        <f>TRUNC(44.6325,2)</f>
        <v>44.63</v>
      </c>
      <c r="G543" s="145">
        <f>TRUNC(E543*F543,2)</f>
        <v>0</v>
      </c>
      <c r="H543" s="145"/>
      <c r="I543" s="145"/>
    </row>
    <row r="544" spans="1:9" ht="18.75">
      <c r="A544" s="33"/>
      <c r="B544" s="64" t="s">
        <v>173</v>
      </c>
      <c r="C544" s="78" t="s">
        <v>431</v>
      </c>
      <c r="D544" s="22" t="s">
        <v>39</v>
      </c>
      <c r="E544" s="167">
        <v>0</v>
      </c>
      <c r="F544" s="24">
        <f>TRUNC(1424.8968,2)</f>
        <v>1424.89</v>
      </c>
      <c r="G544" s="145">
        <f>TRUNC(E544*F544,2)</f>
        <v>0</v>
      </c>
      <c r="H544" s="145"/>
      <c r="I544" s="145"/>
    </row>
    <row r="545" spans="1:9" ht="18.75">
      <c r="A545" s="33"/>
      <c r="B545" s="64"/>
      <c r="C545" s="78"/>
      <c r="D545" s="22"/>
      <c r="E545" s="167" t="s">
        <v>5</v>
      </c>
      <c r="F545" s="24"/>
      <c r="G545" s="145">
        <f>TRUNC(SUM(G540:G544),2)</f>
        <v>680.42</v>
      </c>
      <c r="H545" s="145"/>
      <c r="I545" s="145"/>
    </row>
    <row r="546" spans="1:11" s="150" customFormat="1" ht="54">
      <c r="A546" s="211" t="s">
        <v>461</v>
      </c>
      <c r="B546" s="212" t="s">
        <v>222</v>
      </c>
      <c r="C546" s="217" t="s">
        <v>223</v>
      </c>
      <c r="D546" s="156" t="s">
        <v>52</v>
      </c>
      <c r="E546" s="214">
        <v>10</v>
      </c>
      <c r="F546" s="157">
        <f>TRUNC(F547,2)</f>
        <v>20.97</v>
      </c>
      <c r="G546" s="244">
        <f>TRUNC(F546*1.2882,2)</f>
        <v>27.01</v>
      </c>
      <c r="H546" s="244">
        <f>TRUNC(F546*E546,2)</f>
        <v>209.7</v>
      </c>
      <c r="I546" s="244">
        <f>TRUNC(E546*G546,2)</f>
        <v>270.1</v>
      </c>
      <c r="J546" s="210"/>
      <c r="K546" s="149"/>
    </row>
    <row r="547" spans="1:10" ht="54">
      <c r="A547" s="33"/>
      <c r="B547" s="64" t="s">
        <v>222</v>
      </c>
      <c r="C547" s="104" t="s">
        <v>223</v>
      </c>
      <c r="D547" s="22" t="s">
        <v>52</v>
      </c>
      <c r="E547" s="167">
        <v>1</v>
      </c>
      <c r="F547" s="24">
        <f>TRUNC(20.974085,2)</f>
        <v>20.97</v>
      </c>
      <c r="G547" s="239">
        <f>TRUNC(E547*F547,2)</f>
        <v>20.97</v>
      </c>
      <c r="H547" s="128"/>
      <c r="I547" s="128"/>
      <c r="J547" s="55"/>
    </row>
    <row r="548" spans="1:10" ht="18.75">
      <c r="A548" s="33"/>
      <c r="B548" s="64" t="s">
        <v>148</v>
      </c>
      <c r="C548" s="104" t="s">
        <v>149</v>
      </c>
      <c r="D548" s="22" t="s">
        <v>0</v>
      </c>
      <c r="E548" s="167">
        <v>0.1925</v>
      </c>
      <c r="F548" s="24">
        <f>TRUNC(45.224,2)</f>
        <v>45.22</v>
      </c>
      <c r="G548" s="128">
        <f>TRUNC(E548*F548,2)</f>
        <v>8.7</v>
      </c>
      <c r="H548" s="128"/>
      <c r="I548" s="128"/>
      <c r="J548" s="55"/>
    </row>
    <row r="549" spans="1:10" ht="18.75">
      <c r="A549" s="33"/>
      <c r="B549" s="64" t="s">
        <v>150</v>
      </c>
      <c r="C549" s="104" t="s">
        <v>151</v>
      </c>
      <c r="D549" s="22" t="s">
        <v>0</v>
      </c>
      <c r="E549" s="167">
        <v>0.33</v>
      </c>
      <c r="F549" s="24">
        <f>TRUNC(3.17,2)</f>
        <v>3.17</v>
      </c>
      <c r="G549" s="128">
        <f>TRUNC(E549*F549,2)</f>
        <v>1.04</v>
      </c>
      <c r="H549" s="128"/>
      <c r="I549" s="128"/>
      <c r="J549" s="55"/>
    </row>
    <row r="550" spans="1:10" ht="36">
      <c r="A550" s="33"/>
      <c r="B550" s="64" t="s">
        <v>40</v>
      </c>
      <c r="C550" s="104" t="s">
        <v>41</v>
      </c>
      <c r="D550" s="22" t="s">
        <v>7</v>
      </c>
      <c r="E550" s="167">
        <v>0.3605</v>
      </c>
      <c r="F550" s="24">
        <f>TRUNC(13.08,2)</f>
        <v>13.08</v>
      </c>
      <c r="G550" s="128">
        <f>TRUNC(E550*F550,2)</f>
        <v>4.71</v>
      </c>
      <c r="H550" s="128"/>
      <c r="I550" s="128"/>
      <c r="J550" s="55"/>
    </row>
    <row r="551" spans="1:10" ht="36">
      <c r="A551" s="33"/>
      <c r="B551" s="64" t="s">
        <v>76</v>
      </c>
      <c r="C551" s="104" t="s">
        <v>264</v>
      </c>
      <c r="D551" s="22" t="s">
        <v>7</v>
      </c>
      <c r="E551" s="167">
        <v>0.3605</v>
      </c>
      <c r="F551" s="24">
        <f>TRUNC(18.05,2)</f>
        <v>18.05</v>
      </c>
      <c r="G551" s="128">
        <f>TRUNC(E551*F551,2)</f>
        <v>6.5</v>
      </c>
      <c r="H551" s="128"/>
      <c r="I551" s="128"/>
      <c r="J551" s="55"/>
    </row>
    <row r="552" spans="1:10" ht="18.75">
      <c r="A552" s="33"/>
      <c r="B552" s="64"/>
      <c r="C552" s="104"/>
      <c r="D552" s="22"/>
      <c r="E552" s="167" t="s">
        <v>5</v>
      </c>
      <c r="F552" s="24"/>
      <c r="G552" s="128">
        <f>TRUNC(SUM(G548:G551),2)</f>
        <v>20.95</v>
      </c>
      <c r="H552" s="128"/>
      <c r="I552" s="128"/>
      <c r="J552" s="55"/>
    </row>
    <row r="553" spans="1:12" s="72" customFormat="1" ht="18.75">
      <c r="A553" s="29" t="s">
        <v>130</v>
      </c>
      <c r="B553" s="293"/>
      <c r="C553" s="294"/>
      <c r="D553" s="295"/>
      <c r="E553" s="298" t="s">
        <v>83</v>
      </c>
      <c r="F553" s="299"/>
      <c r="G553" s="300"/>
      <c r="H553" s="38">
        <f>H353+H370+H384+H400+H408+H430+H445+H451+H461+H469+H473+H476+H479+H485+H546+H489+H509+H515+H538+H456</f>
        <v>14297.960000000003</v>
      </c>
      <c r="I553" s="38">
        <f>I353+I370+I384+I400+I408+I430+I445+I451+I461+I469+I473+I476+I479+I485+I546+I489+I509+I515+I538+I456</f>
        <v>18418.31000000001</v>
      </c>
      <c r="J553" s="55"/>
      <c r="K553" s="12"/>
      <c r="L553" s="60"/>
    </row>
    <row r="554" spans="1:11" s="152" customFormat="1" ht="18.75">
      <c r="A554" s="273" t="s">
        <v>89</v>
      </c>
      <c r="B554" s="282"/>
      <c r="C554" s="283" t="s">
        <v>912</v>
      </c>
      <c r="D554" s="276"/>
      <c r="E554" s="277"/>
      <c r="F554" s="279"/>
      <c r="G554" s="278"/>
      <c r="H554" s="278"/>
      <c r="I554" s="272"/>
      <c r="J554" s="281"/>
      <c r="K554" s="151"/>
    </row>
    <row r="555" spans="1:11" s="150" customFormat="1" ht="54.75" thickBot="1">
      <c r="A555" s="211" t="s">
        <v>764</v>
      </c>
      <c r="B555" s="212" t="s">
        <v>238</v>
      </c>
      <c r="C555" s="217" t="s">
        <v>256</v>
      </c>
      <c r="D555" s="156" t="s">
        <v>0</v>
      </c>
      <c r="E555" s="214">
        <v>6</v>
      </c>
      <c r="F555" s="157">
        <f>TRUNC(F556,2)</f>
        <v>245.66</v>
      </c>
      <c r="G555" s="244">
        <f>TRUNC(F555*1.2882,2)</f>
        <v>316.45</v>
      </c>
      <c r="H555" s="244">
        <f>TRUNC(F555*E555,2)</f>
        <v>1473.96</v>
      </c>
      <c r="I555" s="244">
        <f>TRUNC(E555*G555,2)</f>
        <v>1898.7</v>
      </c>
      <c r="J555" s="210"/>
      <c r="K555" s="149"/>
    </row>
    <row r="556" spans="1:11" s="72" customFormat="1" ht="72">
      <c r="A556" s="31"/>
      <c r="B556" s="79" t="s">
        <v>238</v>
      </c>
      <c r="C556" s="105" t="s">
        <v>913</v>
      </c>
      <c r="D556" s="18" t="s">
        <v>0</v>
      </c>
      <c r="E556" s="169">
        <v>1</v>
      </c>
      <c r="F556" s="19">
        <f>TRUNC(G569,2)</f>
        <v>245.66</v>
      </c>
      <c r="G556" s="239">
        <f aca="true" t="shared" si="26" ref="G556:G568">TRUNC(E556*F556,2)</f>
        <v>245.66</v>
      </c>
      <c r="H556" s="128"/>
      <c r="I556" s="128"/>
      <c r="J556" s="55"/>
      <c r="K556" s="55"/>
    </row>
    <row r="557" spans="1:11" s="72" customFormat="1" ht="18.75">
      <c r="A557" s="33"/>
      <c r="B557" s="64" t="s">
        <v>239</v>
      </c>
      <c r="C557" s="101" t="s">
        <v>759</v>
      </c>
      <c r="D557" s="22" t="s">
        <v>0</v>
      </c>
      <c r="E557" s="167">
        <v>1</v>
      </c>
      <c r="F557" s="24">
        <f>TRUNC(1.21,2)</f>
        <v>1.21</v>
      </c>
      <c r="G557" s="128">
        <f t="shared" si="26"/>
        <v>1.21</v>
      </c>
      <c r="H557" s="128"/>
      <c r="I557" s="128"/>
      <c r="J557" s="55"/>
      <c r="K557" s="55"/>
    </row>
    <row r="558" spans="1:11" s="72" customFormat="1" ht="18.75">
      <c r="A558" s="33"/>
      <c r="B558" s="64" t="s">
        <v>240</v>
      </c>
      <c r="C558" s="101" t="s">
        <v>760</v>
      </c>
      <c r="D558" s="22" t="s">
        <v>0</v>
      </c>
      <c r="E558" s="167">
        <v>1</v>
      </c>
      <c r="F558" s="24">
        <f>TRUNC(0.55,2)</f>
        <v>0.55</v>
      </c>
      <c r="G558" s="128">
        <f t="shared" si="26"/>
        <v>0.55</v>
      </c>
      <c r="H558" s="128"/>
      <c r="I558" s="128"/>
      <c r="J558" s="55"/>
      <c r="K558" s="55"/>
    </row>
    <row r="559" spans="1:11" s="72" customFormat="1" ht="18.75">
      <c r="A559" s="33"/>
      <c r="B559" s="64" t="s">
        <v>241</v>
      </c>
      <c r="C559" s="101" t="s">
        <v>318</v>
      </c>
      <c r="D559" s="22" t="s">
        <v>0</v>
      </c>
      <c r="E559" s="167">
        <v>1</v>
      </c>
      <c r="F559" s="24">
        <f>TRUNC(0.62,2)</f>
        <v>0.62</v>
      </c>
      <c r="G559" s="128">
        <f t="shared" si="26"/>
        <v>0.62</v>
      </c>
      <c r="H559" s="128"/>
      <c r="I559" s="128"/>
      <c r="J559" s="55"/>
      <c r="K559" s="55"/>
    </row>
    <row r="560" spans="1:11" s="72" customFormat="1" ht="18.75">
      <c r="A560" s="33"/>
      <c r="B560" s="64" t="s">
        <v>242</v>
      </c>
      <c r="C560" s="101" t="s">
        <v>319</v>
      </c>
      <c r="D560" s="22" t="s">
        <v>0</v>
      </c>
      <c r="E560" s="167">
        <v>1</v>
      </c>
      <c r="F560" s="24">
        <f>TRUNC(0.41,2)</f>
        <v>0.41</v>
      </c>
      <c r="G560" s="128">
        <f t="shared" si="26"/>
        <v>0.41</v>
      </c>
      <c r="H560" s="128"/>
      <c r="I560" s="128"/>
      <c r="J560" s="55"/>
      <c r="K560" s="55"/>
    </row>
    <row r="561" spans="1:11" s="72" customFormat="1" ht="36">
      <c r="A561" s="33"/>
      <c r="B561" s="64" t="s">
        <v>127</v>
      </c>
      <c r="C561" s="101" t="s">
        <v>320</v>
      </c>
      <c r="D561" s="22" t="s">
        <v>0</v>
      </c>
      <c r="E561" s="167">
        <v>2</v>
      </c>
      <c r="F561" s="24">
        <f>TRUNC(4.41,2)</f>
        <v>4.41</v>
      </c>
      <c r="G561" s="128">
        <f t="shared" si="26"/>
        <v>8.82</v>
      </c>
      <c r="H561" s="128"/>
      <c r="I561" s="128"/>
      <c r="J561" s="55"/>
      <c r="K561" s="55"/>
    </row>
    <row r="562" spans="1:11" s="72" customFormat="1" ht="18.75">
      <c r="A562" s="33"/>
      <c r="B562" s="64" t="s">
        <v>243</v>
      </c>
      <c r="C562" s="101" t="s">
        <v>761</v>
      </c>
      <c r="D562" s="22" t="s">
        <v>0</v>
      </c>
      <c r="E562" s="167">
        <v>1</v>
      </c>
      <c r="F562" s="24">
        <f>TRUNC(2.63,2)</f>
        <v>2.63</v>
      </c>
      <c r="G562" s="128">
        <f t="shared" si="26"/>
        <v>2.63</v>
      </c>
      <c r="H562" s="128"/>
      <c r="I562" s="128"/>
      <c r="J562" s="55"/>
      <c r="K562" s="55"/>
    </row>
    <row r="563" spans="1:11" s="72" customFormat="1" ht="18.75">
      <c r="A563" s="33"/>
      <c r="B563" s="64" t="s">
        <v>244</v>
      </c>
      <c r="C563" s="101" t="s">
        <v>313</v>
      </c>
      <c r="D563" s="22" t="s">
        <v>52</v>
      </c>
      <c r="E563" s="167">
        <v>12</v>
      </c>
      <c r="F563" s="24">
        <f>TRUNC(0.9406,2)</f>
        <v>0.94</v>
      </c>
      <c r="G563" s="128">
        <f t="shared" si="26"/>
        <v>11.28</v>
      </c>
      <c r="H563" s="128"/>
      <c r="I563" s="128"/>
      <c r="J563" s="55"/>
      <c r="K563" s="55"/>
    </row>
    <row r="564" spans="1:11" s="72" customFormat="1" ht="18.75">
      <c r="A564" s="33"/>
      <c r="B564" s="64" t="s">
        <v>128</v>
      </c>
      <c r="C564" s="101" t="s">
        <v>321</v>
      </c>
      <c r="D564" s="22" t="s">
        <v>0</v>
      </c>
      <c r="E564" s="167">
        <v>4</v>
      </c>
      <c r="F564" s="24">
        <f>TRUNC(0.71,2)</f>
        <v>0.71</v>
      </c>
      <c r="G564" s="128">
        <f t="shared" si="26"/>
        <v>2.84</v>
      </c>
      <c r="H564" s="128"/>
      <c r="I564" s="128"/>
      <c r="J564" s="55"/>
      <c r="K564" s="55"/>
    </row>
    <row r="565" spans="1:11" s="72" customFormat="1" ht="36">
      <c r="A565" s="33"/>
      <c r="B565" s="64" t="s">
        <v>40</v>
      </c>
      <c r="C565" s="101" t="s">
        <v>41</v>
      </c>
      <c r="D565" s="22" t="s">
        <v>7</v>
      </c>
      <c r="E565" s="167">
        <v>6.18</v>
      </c>
      <c r="F565" s="24">
        <f>TRUNC(13.08,2)</f>
        <v>13.08</v>
      </c>
      <c r="G565" s="128">
        <f t="shared" si="26"/>
        <v>80.83</v>
      </c>
      <c r="H565" s="128"/>
      <c r="I565" s="128"/>
      <c r="J565" s="55"/>
      <c r="K565" s="55"/>
    </row>
    <row r="566" spans="1:11" s="72" customFormat="1" ht="18.75">
      <c r="A566" s="33"/>
      <c r="B566" s="64" t="s">
        <v>43</v>
      </c>
      <c r="C566" s="101" t="s">
        <v>100</v>
      </c>
      <c r="D566" s="22" t="s">
        <v>7</v>
      </c>
      <c r="E566" s="167">
        <v>3.09</v>
      </c>
      <c r="F566" s="24">
        <f>TRUNC(18.05,2)</f>
        <v>18.05</v>
      </c>
      <c r="G566" s="128">
        <f t="shared" si="26"/>
        <v>55.77</v>
      </c>
      <c r="H566" s="128"/>
      <c r="I566" s="128"/>
      <c r="J566" s="55"/>
      <c r="K566" s="55"/>
    </row>
    <row r="567" spans="1:11" s="72" customFormat="1" ht="36">
      <c r="A567" s="33"/>
      <c r="B567" s="64" t="s">
        <v>74</v>
      </c>
      <c r="C567" s="101" t="s">
        <v>315</v>
      </c>
      <c r="D567" s="22" t="s">
        <v>7</v>
      </c>
      <c r="E567" s="167">
        <v>4.12</v>
      </c>
      <c r="F567" s="24">
        <f>TRUNC(18.05,2)</f>
        <v>18.05</v>
      </c>
      <c r="G567" s="128">
        <f t="shared" si="26"/>
        <v>74.36</v>
      </c>
      <c r="H567" s="128"/>
      <c r="I567" s="128"/>
      <c r="J567" s="55"/>
      <c r="K567" s="55"/>
    </row>
    <row r="568" spans="1:11" s="72" customFormat="1" ht="18.75">
      <c r="A568" s="33"/>
      <c r="B568" s="64" t="s">
        <v>160</v>
      </c>
      <c r="C568" s="101" t="s">
        <v>591</v>
      </c>
      <c r="D568" s="22" t="s">
        <v>39</v>
      </c>
      <c r="E568" s="167">
        <v>0.03</v>
      </c>
      <c r="F568" s="24">
        <f>TRUNC(211.3936,2)</f>
        <v>211.39</v>
      </c>
      <c r="G568" s="128">
        <f t="shared" si="26"/>
        <v>6.34</v>
      </c>
      <c r="H568" s="128"/>
      <c r="I568" s="128"/>
      <c r="J568" s="55"/>
      <c r="K568" s="55"/>
    </row>
    <row r="569" spans="1:11" s="72" customFormat="1" ht="18.75">
      <c r="A569" s="33"/>
      <c r="B569" s="64"/>
      <c r="C569" s="101"/>
      <c r="D569" s="22"/>
      <c r="E569" s="167" t="s">
        <v>5</v>
      </c>
      <c r="F569" s="24"/>
      <c r="G569" s="128">
        <f>TRUNC(SUM(G557:G568),2)</f>
        <v>245.66</v>
      </c>
      <c r="H569" s="128"/>
      <c r="I569" s="128"/>
      <c r="J569" s="55"/>
      <c r="K569" s="55"/>
    </row>
    <row r="570" spans="1:11" s="150" customFormat="1" ht="72">
      <c r="A570" s="211" t="s">
        <v>771</v>
      </c>
      <c r="B570" s="212" t="s">
        <v>762</v>
      </c>
      <c r="C570" s="217" t="s">
        <v>257</v>
      </c>
      <c r="D570" s="156" t="s">
        <v>0</v>
      </c>
      <c r="E570" s="214">
        <v>1</v>
      </c>
      <c r="F570" s="157">
        <f>TRUNC(F571,2)</f>
        <v>461.46</v>
      </c>
      <c r="G570" s="244">
        <f>TRUNC(F570*1.2882,2)</f>
        <v>594.45</v>
      </c>
      <c r="H570" s="244">
        <f>TRUNC(F570*E570,2)</f>
        <v>461.46</v>
      </c>
      <c r="I570" s="244">
        <f>TRUNC(E570*G570,2)</f>
        <v>594.45</v>
      </c>
      <c r="J570" s="210"/>
      <c r="K570" s="149"/>
    </row>
    <row r="571" spans="1:11" s="72" customFormat="1" ht="72">
      <c r="A571" s="31"/>
      <c r="B571" s="79" t="s">
        <v>245</v>
      </c>
      <c r="C571" s="103" t="s">
        <v>758</v>
      </c>
      <c r="D571" s="18" t="s">
        <v>0</v>
      </c>
      <c r="E571" s="169">
        <v>1</v>
      </c>
      <c r="F571" s="19">
        <f>TRUNC(G584,2)</f>
        <v>461.46</v>
      </c>
      <c r="G571" s="239">
        <f aca="true" t="shared" si="27" ref="G571:G583">TRUNC(E571*F571,2)</f>
        <v>461.46</v>
      </c>
      <c r="H571" s="128"/>
      <c r="I571" s="128"/>
      <c r="J571" s="55"/>
      <c r="K571" s="55"/>
    </row>
    <row r="572" spans="1:11" s="72" customFormat="1" ht="18.75">
      <c r="A572" s="33"/>
      <c r="B572" s="64" t="s">
        <v>239</v>
      </c>
      <c r="C572" s="103" t="s">
        <v>759</v>
      </c>
      <c r="D572" s="22" t="s">
        <v>0</v>
      </c>
      <c r="E572" s="167">
        <v>2</v>
      </c>
      <c r="F572" s="24">
        <f>TRUNC(1.21,2)</f>
        <v>1.21</v>
      </c>
      <c r="G572" s="128">
        <f t="shared" si="27"/>
        <v>2.42</v>
      </c>
      <c r="H572" s="128"/>
      <c r="I572" s="128"/>
      <c r="J572" s="55"/>
      <c r="K572" s="55"/>
    </row>
    <row r="573" spans="1:11" s="72" customFormat="1" ht="18.75">
      <c r="A573" s="33"/>
      <c r="B573" s="64" t="s">
        <v>240</v>
      </c>
      <c r="C573" s="103" t="s">
        <v>760</v>
      </c>
      <c r="D573" s="22" t="s">
        <v>0</v>
      </c>
      <c r="E573" s="167">
        <v>1</v>
      </c>
      <c r="F573" s="24">
        <f>TRUNC(0.55,2)</f>
        <v>0.55</v>
      </c>
      <c r="G573" s="128">
        <f t="shared" si="27"/>
        <v>0.55</v>
      </c>
      <c r="H573" s="128"/>
      <c r="I573" s="128"/>
      <c r="J573" s="55"/>
      <c r="K573" s="55"/>
    </row>
    <row r="574" spans="1:11" s="72" customFormat="1" ht="18.75">
      <c r="A574" s="33"/>
      <c r="B574" s="64" t="s">
        <v>241</v>
      </c>
      <c r="C574" s="103" t="s">
        <v>318</v>
      </c>
      <c r="D574" s="22" t="s">
        <v>0</v>
      </c>
      <c r="E574" s="167">
        <v>1</v>
      </c>
      <c r="F574" s="24">
        <f>TRUNC(0.62,2)</f>
        <v>0.62</v>
      </c>
      <c r="G574" s="128">
        <f t="shared" si="27"/>
        <v>0.62</v>
      </c>
      <c r="H574" s="128"/>
      <c r="I574" s="128"/>
      <c r="J574" s="55"/>
      <c r="K574" s="55"/>
    </row>
    <row r="575" spans="1:11" s="72" customFormat="1" ht="18.75">
      <c r="A575" s="33"/>
      <c r="B575" s="64" t="s">
        <v>242</v>
      </c>
      <c r="C575" s="103" t="s">
        <v>319</v>
      </c>
      <c r="D575" s="22" t="s">
        <v>0</v>
      </c>
      <c r="E575" s="167">
        <v>3</v>
      </c>
      <c r="F575" s="24">
        <f>TRUNC(0.41,2)</f>
        <v>0.41</v>
      </c>
      <c r="G575" s="128">
        <f t="shared" si="27"/>
        <v>1.23</v>
      </c>
      <c r="H575" s="128"/>
      <c r="I575" s="128"/>
      <c r="J575" s="55"/>
      <c r="K575" s="55"/>
    </row>
    <row r="576" spans="1:11" s="72" customFormat="1" ht="36">
      <c r="A576" s="33"/>
      <c r="B576" s="64" t="s">
        <v>127</v>
      </c>
      <c r="C576" s="103" t="s">
        <v>320</v>
      </c>
      <c r="D576" s="22" t="s">
        <v>0</v>
      </c>
      <c r="E576" s="167">
        <v>5</v>
      </c>
      <c r="F576" s="24">
        <f>TRUNC(4.41,2)</f>
        <v>4.41</v>
      </c>
      <c r="G576" s="128">
        <f t="shared" si="27"/>
        <v>22.05</v>
      </c>
      <c r="H576" s="128"/>
      <c r="I576" s="128"/>
      <c r="J576" s="55"/>
      <c r="K576" s="55"/>
    </row>
    <row r="577" spans="1:11" s="72" customFormat="1" ht="18.75">
      <c r="A577" s="33"/>
      <c r="B577" s="64" t="s">
        <v>243</v>
      </c>
      <c r="C577" s="103" t="s">
        <v>761</v>
      </c>
      <c r="D577" s="22" t="s">
        <v>0</v>
      </c>
      <c r="E577" s="167">
        <v>1</v>
      </c>
      <c r="F577" s="24">
        <f>TRUNC(2.63,2)</f>
        <v>2.63</v>
      </c>
      <c r="G577" s="128">
        <f t="shared" si="27"/>
        <v>2.63</v>
      </c>
      <c r="H577" s="128"/>
      <c r="I577" s="128"/>
      <c r="J577" s="55"/>
      <c r="K577" s="55"/>
    </row>
    <row r="578" spans="1:11" s="72" customFormat="1" ht="18.75">
      <c r="A578" s="33"/>
      <c r="B578" s="64" t="s">
        <v>244</v>
      </c>
      <c r="C578" s="103" t="s">
        <v>313</v>
      </c>
      <c r="D578" s="22" t="s">
        <v>52</v>
      </c>
      <c r="E578" s="167">
        <v>33</v>
      </c>
      <c r="F578" s="24">
        <f>TRUNC(0.9406,2)</f>
        <v>0.94</v>
      </c>
      <c r="G578" s="128">
        <f t="shared" si="27"/>
        <v>31.02</v>
      </c>
      <c r="H578" s="128"/>
      <c r="I578" s="128"/>
      <c r="J578" s="55"/>
      <c r="K578" s="55"/>
    </row>
    <row r="579" spans="1:11" s="72" customFormat="1" ht="18.75">
      <c r="A579" s="33"/>
      <c r="B579" s="64" t="s">
        <v>128</v>
      </c>
      <c r="C579" s="103" t="s">
        <v>321</v>
      </c>
      <c r="D579" s="22" t="s">
        <v>0</v>
      </c>
      <c r="E579" s="167">
        <v>10</v>
      </c>
      <c r="F579" s="24">
        <f>TRUNC(0.71,2)</f>
        <v>0.71</v>
      </c>
      <c r="G579" s="128">
        <f t="shared" si="27"/>
        <v>7.1</v>
      </c>
      <c r="H579" s="128"/>
      <c r="I579" s="128"/>
      <c r="J579" s="55"/>
      <c r="K579" s="55"/>
    </row>
    <row r="580" spans="1:11" s="72" customFormat="1" ht="36">
      <c r="A580" s="33"/>
      <c r="B580" s="64" t="s">
        <v>40</v>
      </c>
      <c r="C580" s="103" t="s">
        <v>41</v>
      </c>
      <c r="D580" s="22" t="s">
        <v>7</v>
      </c>
      <c r="E580" s="167">
        <v>8.858</v>
      </c>
      <c r="F580" s="24">
        <f>TRUNC(13.08,2)</f>
        <v>13.08</v>
      </c>
      <c r="G580" s="128">
        <f t="shared" si="27"/>
        <v>115.86</v>
      </c>
      <c r="H580" s="128"/>
      <c r="I580" s="128"/>
      <c r="J580" s="55"/>
      <c r="K580" s="55"/>
    </row>
    <row r="581" spans="1:11" s="72" customFormat="1" ht="18.75">
      <c r="A581" s="33"/>
      <c r="B581" s="64" t="s">
        <v>43</v>
      </c>
      <c r="C581" s="103" t="s">
        <v>100</v>
      </c>
      <c r="D581" s="22" t="s">
        <v>7</v>
      </c>
      <c r="E581" s="167">
        <v>7.7250000000000005</v>
      </c>
      <c r="F581" s="24">
        <f>TRUNC(18.05,2)</f>
        <v>18.05</v>
      </c>
      <c r="G581" s="128">
        <f t="shared" si="27"/>
        <v>139.43</v>
      </c>
      <c r="H581" s="128"/>
      <c r="I581" s="128"/>
      <c r="J581" s="55"/>
      <c r="K581" s="55"/>
    </row>
    <row r="582" spans="1:11" s="72" customFormat="1" ht="36">
      <c r="A582" s="33"/>
      <c r="B582" s="64" t="s">
        <v>74</v>
      </c>
      <c r="C582" s="103" t="s">
        <v>315</v>
      </c>
      <c r="D582" s="22" t="s">
        <v>7</v>
      </c>
      <c r="E582" s="167">
        <v>6.798</v>
      </c>
      <c r="F582" s="24">
        <f>TRUNC(18.05,2)</f>
        <v>18.05</v>
      </c>
      <c r="G582" s="128">
        <f t="shared" si="27"/>
        <v>122.7</v>
      </c>
      <c r="H582" s="128"/>
      <c r="I582" s="128"/>
      <c r="J582" s="55"/>
      <c r="K582" s="55"/>
    </row>
    <row r="583" spans="1:11" s="72" customFormat="1" ht="18.75">
      <c r="A583" s="33"/>
      <c r="B583" s="64" t="s">
        <v>160</v>
      </c>
      <c r="C583" s="103" t="s">
        <v>591</v>
      </c>
      <c r="D583" s="22" t="s">
        <v>39</v>
      </c>
      <c r="E583" s="167">
        <v>0.075</v>
      </c>
      <c r="F583" s="24">
        <f>TRUNC(211.3936,2)</f>
        <v>211.39</v>
      </c>
      <c r="G583" s="128">
        <f t="shared" si="27"/>
        <v>15.85</v>
      </c>
      <c r="H583" s="128"/>
      <c r="I583" s="128"/>
      <c r="J583" s="55"/>
      <c r="K583" s="55"/>
    </row>
    <row r="584" spans="1:11" s="72" customFormat="1" ht="18.75">
      <c r="A584" s="33"/>
      <c r="B584" s="64"/>
      <c r="C584" s="103"/>
      <c r="D584" s="22"/>
      <c r="E584" s="167" t="s">
        <v>5</v>
      </c>
      <c r="F584" s="24"/>
      <c r="G584" s="128">
        <f>TRUNC(SUM(G572:G583),2)</f>
        <v>461.46</v>
      </c>
      <c r="H584" s="128"/>
      <c r="I584" s="128"/>
      <c r="J584" s="55"/>
      <c r="K584" s="55"/>
    </row>
    <row r="585" spans="1:11" s="150" customFormat="1" ht="72.75" thickBot="1">
      <c r="A585" s="211" t="s">
        <v>772</v>
      </c>
      <c r="B585" s="212" t="s">
        <v>246</v>
      </c>
      <c r="C585" s="217" t="s">
        <v>258</v>
      </c>
      <c r="D585" s="156" t="s">
        <v>0</v>
      </c>
      <c r="E585" s="214">
        <v>1</v>
      </c>
      <c r="F585" s="157">
        <f>TRUNC(G599,2)</f>
        <v>638.89</v>
      </c>
      <c r="G585" s="244">
        <f>TRUNC(F585*1.2882,2)</f>
        <v>823.01</v>
      </c>
      <c r="H585" s="244">
        <f>TRUNC(F585*E585,2)</f>
        <v>638.89</v>
      </c>
      <c r="I585" s="244">
        <f>TRUNC(E585*G585,2)</f>
        <v>823.01</v>
      </c>
      <c r="J585" s="210"/>
      <c r="K585" s="149"/>
    </row>
    <row r="586" spans="1:11" s="72" customFormat="1" ht="72">
      <c r="A586" s="31"/>
      <c r="B586" s="79" t="s">
        <v>246</v>
      </c>
      <c r="C586" s="105" t="s">
        <v>914</v>
      </c>
      <c r="D586" s="18" t="s">
        <v>0</v>
      </c>
      <c r="E586" s="169">
        <v>1</v>
      </c>
      <c r="F586" s="19">
        <f>TRUNC(G599,2)</f>
        <v>638.89</v>
      </c>
      <c r="G586" s="239">
        <f aca="true" t="shared" si="28" ref="G586:G598">TRUNC(E586*F586,2)</f>
        <v>638.89</v>
      </c>
      <c r="H586" s="128"/>
      <c r="I586" s="128"/>
      <c r="J586" s="55"/>
      <c r="K586" s="55"/>
    </row>
    <row r="587" spans="1:11" s="72" customFormat="1" ht="18.75">
      <c r="A587" s="33"/>
      <c r="B587" s="64" t="s">
        <v>239</v>
      </c>
      <c r="C587" s="101" t="s">
        <v>759</v>
      </c>
      <c r="D587" s="22" t="s">
        <v>0</v>
      </c>
      <c r="E587" s="167">
        <v>4</v>
      </c>
      <c r="F587" s="24">
        <f>TRUNC(1.21,2)</f>
        <v>1.21</v>
      </c>
      <c r="G587" s="128">
        <f t="shared" si="28"/>
        <v>4.84</v>
      </c>
      <c r="H587" s="128"/>
      <c r="I587" s="128"/>
      <c r="J587" s="55"/>
      <c r="K587" s="55"/>
    </row>
    <row r="588" spans="1:11" s="72" customFormat="1" ht="18.75">
      <c r="A588" s="33"/>
      <c r="B588" s="64" t="s">
        <v>240</v>
      </c>
      <c r="C588" s="101" t="s">
        <v>760</v>
      </c>
      <c r="D588" s="22" t="s">
        <v>0</v>
      </c>
      <c r="E588" s="167">
        <v>1</v>
      </c>
      <c r="F588" s="24">
        <f>TRUNC(0.55,2)</f>
        <v>0.55</v>
      </c>
      <c r="G588" s="128">
        <f t="shared" si="28"/>
        <v>0.55</v>
      </c>
      <c r="H588" s="128"/>
      <c r="I588" s="128"/>
      <c r="J588" s="55"/>
      <c r="K588" s="55"/>
    </row>
    <row r="589" spans="1:11" s="72" customFormat="1" ht="18.75">
      <c r="A589" s="33"/>
      <c r="B589" s="64" t="s">
        <v>241</v>
      </c>
      <c r="C589" s="101" t="s">
        <v>318</v>
      </c>
      <c r="D589" s="22" t="s">
        <v>0</v>
      </c>
      <c r="E589" s="167">
        <v>1</v>
      </c>
      <c r="F589" s="24">
        <f>TRUNC(0.62,2)</f>
        <v>0.62</v>
      </c>
      <c r="G589" s="128">
        <f t="shared" si="28"/>
        <v>0.62</v>
      </c>
      <c r="H589" s="128"/>
      <c r="I589" s="128"/>
      <c r="J589" s="55"/>
      <c r="K589" s="55"/>
    </row>
    <row r="590" spans="1:11" s="72" customFormat="1" ht="18.75">
      <c r="A590" s="33"/>
      <c r="B590" s="64" t="s">
        <v>242</v>
      </c>
      <c r="C590" s="101" t="s">
        <v>319</v>
      </c>
      <c r="D590" s="22" t="s">
        <v>0</v>
      </c>
      <c r="E590" s="167">
        <v>3</v>
      </c>
      <c r="F590" s="24">
        <f>TRUNC(0.41,2)</f>
        <v>0.41</v>
      </c>
      <c r="G590" s="128">
        <f t="shared" si="28"/>
        <v>1.23</v>
      </c>
      <c r="H590" s="128"/>
      <c r="I590" s="128"/>
      <c r="J590" s="55"/>
      <c r="K590" s="55"/>
    </row>
    <row r="591" spans="1:11" s="72" customFormat="1" ht="18.75">
      <c r="A591" s="33"/>
      <c r="B591" s="64" t="s">
        <v>254</v>
      </c>
      <c r="C591" s="101" t="s">
        <v>915</v>
      </c>
      <c r="D591" s="22" t="s">
        <v>0</v>
      </c>
      <c r="E591" s="167">
        <v>1</v>
      </c>
      <c r="F591" s="24">
        <f>TRUNC(8.09,2)</f>
        <v>8.09</v>
      </c>
      <c r="G591" s="128">
        <f t="shared" si="28"/>
        <v>8.09</v>
      </c>
      <c r="H591" s="128"/>
      <c r="I591" s="128"/>
      <c r="J591" s="55"/>
      <c r="K591" s="55"/>
    </row>
    <row r="592" spans="1:11" s="72" customFormat="1" ht="36">
      <c r="A592" s="33"/>
      <c r="B592" s="64" t="s">
        <v>127</v>
      </c>
      <c r="C592" s="101" t="s">
        <v>320</v>
      </c>
      <c r="D592" s="22" t="s">
        <v>0</v>
      </c>
      <c r="E592" s="167">
        <v>7</v>
      </c>
      <c r="F592" s="24">
        <f>TRUNC(4.41,2)</f>
        <v>4.41</v>
      </c>
      <c r="G592" s="128">
        <f t="shared" si="28"/>
        <v>30.87</v>
      </c>
      <c r="H592" s="128"/>
      <c r="I592" s="128"/>
      <c r="J592" s="55"/>
      <c r="K592" s="55"/>
    </row>
    <row r="593" spans="1:11" s="72" customFormat="1" ht="18.75">
      <c r="A593" s="33"/>
      <c r="B593" s="64" t="s">
        <v>244</v>
      </c>
      <c r="C593" s="101" t="s">
        <v>313</v>
      </c>
      <c r="D593" s="22" t="s">
        <v>52</v>
      </c>
      <c r="E593" s="167">
        <v>50</v>
      </c>
      <c r="F593" s="24">
        <f>TRUNC(0.9406,2)</f>
        <v>0.94</v>
      </c>
      <c r="G593" s="128">
        <f t="shared" si="28"/>
        <v>47</v>
      </c>
      <c r="H593" s="128"/>
      <c r="I593" s="128"/>
      <c r="J593" s="55"/>
      <c r="K593" s="55"/>
    </row>
    <row r="594" spans="1:11" s="72" customFormat="1" ht="18.75">
      <c r="A594" s="33"/>
      <c r="B594" s="64" t="s">
        <v>128</v>
      </c>
      <c r="C594" s="101" t="s">
        <v>321</v>
      </c>
      <c r="D594" s="22" t="s">
        <v>0</v>
      </c>
      <c r="E594" s="167">
        <v>18</v>
      </c>
      <c r="F594" s="24">
        <f>TRUNC(0.71,2)</f>
        <v>0.71</v>
      </c>
      <c r="G594" s="128">
        <f t="shared" si="28"/>
        <v>12.78</v>
      </c>
      <c r="H594" s="128"/>
      <c r="I594" s="128"/>
      <c r="J594" s="55"/>
      <c r="K594" s="55"/>
    </row>
    <row r="595" spans="1:11" s="72" customFormat="1" ht="36">
      <c r="A595" s="33"/>
      <c r="B595" s="64" t="s">
        <v>40</v>
      </c>
      <c r="C595" s="101" t="s">
        <v>41</v>
      </c>
      <c r="D595" s="22" t="s">
        <v>7</v>
      </c>
      <c r="E595" s="167">
        <v>11.33</v>
      </c>
      <c r="F595" s="24">
        <f>TRUNC(13.08,2)</f>
        <v>13.08</v>
      </c>
      <c r="G595" s="128">
        <f t="shared" si="28"/>
        <v>148.19</v>
      </c>
      <c r="H595" s="128"/>
      <c r="I595" s="128"/>
      <c r="J595" s="55"/>
      <c r="K595" s="55"/>
    </row>
    <row r="596" spans="1:11" s="72" customFormat="1" ht="18.75">
      <c r="A596" s="33"/>
      <c r="B596" s="64" t="s">
        <v>43</v>
      </c>
      <c r="C596" s="101" t="s">
        <v>100</v>
      </c>
      <c r="D596" s="22" t="s">
        <v>7</v>
      </c>
      <c r="E596" s="167">
        <v>10.815</v>
      </c>
      <c r="F596" s="24">
        <f>TRUNC(18.05,2)</f>
        <v>18.05</v>
      </c>
      <c r="G596" s="128">
        <f t="shared" si="28"/>
        <v>195.21</v>
      </c>
      <c r="H596" s="128"/>
      <c r="I596" s="128"/>
      <c r="J596" s="55"/>
      <c r="K596" s="55"/>
    </row>
    <row r="597" spans="1:11" s="72" customFormat="1" ht="36">
      <c r="A597" s="33"/>
      <c r="B597" s="64" t="s">
        <v>74</v>
      </c>
      <c r="C597" s="101" t="s">
        <v>315</v>
      </c>
      <c r="D597" s="22" t="s">
        <v>7</v>
      </c>
      <c r="E597" s="167">
        <v>9.27</v>
      </c>
      <c r="F597" s="24">
        <f>TRUNC(18.05,2)</f>
        <v>18.05</v>
      </c>
      <c r="G597" s="128">
        <f t="shared" si="28"/>
        <v>167.32</v>
      </c>
      <c r="H597" s="128"/>
      <c r="I597" s="128"/>
      <c r="J597" s="55"/>
      <c r="K597" s="55"/>
    </row>
    <row r="598" spans="1:11" s="72" customFormat="1" ht="18.75">
      <c r="A598" s="33"/>
      <c r="B598" s="64" t="s">
        <v>160</v>
      </c>
      <c r="C598" s="101" t="s">
        <v>591</v>
      </c>
      <c r="D598" s="22" t="s">
        <v>39</v>
      </c>
      <c r="E598" s="167">
        <v>0.105</v>
      </c>
      <c r="F598" s="24">
        <f>TRUNC(211.3936,2)</f>
        <v>211.39</v>
      </c>
      <c r="G598" s="128">
        <f t="shared" si="28"/>
        <v>22.19</v>
      </c>
      <c r="H598" s="128"/>
      <c r="I598" s="128"/>
      <c r="J598" s="55"/>
      <c r="K598" s="55"/>
    </row>
    <row r="599" spans="1:11" s="72" customFormat="1" ht="18.75">
      <c r="A599" s="33"/>
      <c r="B599" s="64"/>
      <c r="C599" s="101"/>
      <c r="D599" s="22"/>
      <c r="E599" s="167" t="s">
        <v>5</v>
      </c>
      <c r="F599" s="24"/>
      <c r="G599" s="128">
        <f>TRUNC(SUM(G587:G598),2)</f>
        <v>638.89</v>
      </c>
      <c r="H599" s="128"/>
      <c r="I599" s="128"/>
      <c r="J599" s="55"/>
      <c r="K599" s="55"/>
    </row>
    <row r="600" spans="1:11" s="150" customFormat="1" ht="72.75" thickBot="1">
      <c r="A600" s="211" t="s">
        <v>773</v>
      </c>
      <c r="B600" s="212" t="s">
        <v>765</v>
      </c>
      <c r="C600" s="217" t="s">
        <v>766</v>
      </c>
      <c r="D600" s="156" t="s">
        <v>0</v>
      </c>
      <c r="E600" s="214">
        <v>1</v>
      </c>
      <c r="F600" s="157">
        <f>TRUNC(F601,2)</f>
        <v>450.79</v>
      </c>
      <c r="G600" s="244">
        <f>TRUNC(F600*1.2882,2)</f>
        <v>580.7</v>
      </c>
      <c r="H600" s="244">
        <f>TRUNC(F600*E600,2)</f>
        <v>450.79</v>
      </c>
      <c r="I600" s="244">
        <f>TRUNC(E600*G600,2)</f>
        <v>580.7</v>
      </c>
      <c r="J600" s="210"/>
      <c r="K600" s="149"/>
    </row>
    <row r="601" spans="1:11" s="72" customFormat="1" ht="72">
      <c r="A601" s="31"/>
      <c r="B601" s="79" t="s">
        <v>765</v>
      </c>
      <c r="C601" s="105" t="s">
        <v>766</v>
      </c>
      <c r="D601" s="18" t="s">
        <v>0</v>
      </c>
      <c r="E601" s="169">
        <v>1</v>
      </c>
      <c r="F601" s="19">
        <f>TRUNC(G614,2)</f>
        <v>450.79</v>
      </c>
      <c r="G601" s="239">
        <f aca="true" t="shared" si="29" ref="G601:G613">TRUNC(E601*F601,2)</f>
        <v>450.79</v>
      </c>
      <c r="H601" s="128"/>
      <c r="I601" s="128"/>
      <c r="J601" s="55"/>
      <c r="K601" s="55"/>
    </row>
    <row r="602" spans="1:11" s="72" customFormat="1" ht="18.75">
      <c r="A602" s="33"/>
      <c r="B602" s="64" t="s">
        <v>239</v>
      </c>
      <c r="C602" s="101" t="s">
        <v>759</v>
      </c>
      <c r="D602" s="22" t="s">
        <v>0</v>
      </c>
      <c r="E602" s="167">
        <v>3</v>
      </c>
      <c r="F602" s="24">
        <f>TRUNC(1.21,2)</f>
        <v>1.21</v>
      </c>
      <c r="G602" s="128">
        <f t="shared" si="29"/>
        <v>3.63</v>
      </c>
      <c r="H602" s="128"/>
      <c r="I602" s="128"/>
      <c r="J602" s="55"/>
      <c r="K602" s="55"/>
    </row>
    <row r="603" spans="1:11" s="72" customFormat="1" ht="18.75">
      <c r="A603" s="33"/>
      <c r="B603" s="64" t="s">
        <v>240</v>
      </c>
      <c r="C603" s="101" t="s">
        <v>760</v>
      </c>
      <c r="D603" s="22" t="s">
        <v>0</v>
      </c>
      <c r="E603" s="167">
        <v>1</v>
      </c>
      <c r="F603" s="24">
        <f>TRUNC(0.55,2)</f>
        <v>0.55</v>
      </c>
      <c r="G603" s="128">
        <f t="shared" si="29"/>
        <v>0.55</v>
      </c>
      <c r="H603" s="128"/>
      <c r="I603" s="128"/>
      <c r="J603" s="55"/>
      <c r="K603" s="55"/>
    </row>
    <row r="604" spans="1:11" s="72" customFormat="1" ht="18.75">
      <c r="A604" s="33"/>
      <c r="B604" s="64" t="s">
        <v>252</v>
      </c>
      <c r="C604" s="101" t="s">
        <v>767</v>
      </c>
      <c r="D604" s="22" t="s">
        <v>0</v>
      </c>
      <c r="E604" s="167">
        <v>14</v>
      </c>
      <c r="F604" s="24">
        <f>TRUNC(0.64,2)</f>
        <v>0.64</v>
      </c>
      <c r="G604" s="128">
        <f t="shared" si="29"/>
        <v>8.96</v>
      </c>
      <c r="H604" s="128"/>
      <c r="I604" s="128"/>
      <c r="J604" s="55"/>
      <c r="K604" s="55"/>
    </row>
    <row r="605" spans="1:11" s="72" customFormat="1" ht="18.75">
      <c r="A605" s="33"/>
      <c r="B605" s="64" t="s">
        <v>768</v>
      </c>
      <c r="C605" s="101" t="s">
        <v>769</v>
      </c>
      <c r="D605" s="22" t="s">
        <v>0</v>
      </c>
      <c r="E605" s="167">
        <v>1</v>
      </c>
      <c r="F605" s="24">
        <f>TRUNC(0.54,2)</f>
        <v>0.54</v>
      </c>
      <c r="G605" s="128">
        <f t="shared" si="29"/>
        <v>0.54</v>
      </c>
      <c r="H605" s="128"/>
      <c r="I605" s="128"/>
      <c r="J605" s="55"/>
      <c r="K605" s="55"/>
    </row>
    <row r="606" spans="1:11" s="72" customFormat="1" ht="18.75">
      <c r="A606" s="33"/>
      <c r="B606" s="64" t="s">
        <v>253</v>
      </c>
      <c r="C606" s="101" t="s">
        <v>770</v>
      </c>
      <c r="D606" s="22" t="s">
        <v>0</v>
      </c>
      <c r="E606" s="167">
        <v>3</v>
      </c>
      <c r="F606" s="24">
        <f>TRUNC(0.26,2)</f>
        <v>0.26</v>
      </c>
      <c r="G606" s="128">
        <f t="shared" si="29"/>
        <v>0.78</v>
      </c>
      <c r="H606" s="128"/>
      <c r="I606" s="128"/>
      <c r="J606" s="55"/>
      <c r="K606" s="55"/>
    </row>
    <row r="607" spans="1:11" s="72" customFormat="1" ht="36">
      <c r="A607" s="33"/>
      <c r="B607" s="64" t="s">
        <v>107</v>
      </c>
      <c r="C607" s="101" t="s">
        <v>316</v>
      </c>
      <c r="D607" s="22" t="s">
        <v>0</v>
      </c>
      <c r="E607" s="167">
        <v>6</v>
      </c>
      <c r="F607" s="24">
        <f>TRUNC(3.53,2)</f>
        <v>3.53</v>
      </c>
      <c r="G607" s="128">
        <f t="shared" si="29"/>
        <v>21.18</v>
      </c>
      <c r="H607" s="128"/>
      <c r="I607" s="128"/>
      <c r="J607" s="55"/>
      <c r="K607" s="55"/>
    </row>
    <row r="608" spans="1:11" s="72" customFormat="1" ht="18.75">
      <c r="A608" s="33"/>
      <c r="B608" s="64" t="s">
        <v>243</v>
      </c>
      <c r="C608" s="101" t="s">
        <v>761</v>
      </c>
      <c r="D608" s="22" t="s">
        <v>0</v>
      </c>
      <c r="E608" s="167">
        <v>1</v>
      </c>
      <c r="F608" s="24">
        <f>TRUNC(2.63,2)</f>
        <v>2.63</v>
      </c>
      <c r="G608" s="128">
        <f t="shared" si="29"/>
        <v>2.63</v>
      </c>
      <c r="H608" s="128"/>
      <c r="I608" s="128"/>
      <c r="J608" s="55"/>
      <c r="K608" s="55"/>
    </row>
    <row r="609" spans="1:11" s="72" customFormat="1" ht="18.75">
      <c r="A609" s="33"/>
      <c r="B609" s="64" t="s">
        <v>244</v>
      </c>
      <c r="C609" s="101" t="s">
        <v>313</v>
      </c>
      <c r="D609" s="22" t="s">
        <v>52</v>
      </c>
      <c r="E609" s="167">
        <v>50</v>
      </c>
      <c r="F609" s="24">
        <f>TRUNC(0.9406,2)</f>
        <v>0.94</v>
      </c>
      <c r="G609" s="128">
        <f t="shared" si="29"/>
        <v>47</v>
      </c>
      <c r="H609" s="128"/>
      <c r="I609" s="128"/>
      <c r="J609" s="55"/>
      <c r="K609" s="55"/>
    </row>
    <row r="610" spans="1:11" s="72" customFormat="1" ht="36">
      <c r="A610" s="33"/>
      <c r="B610" s="64" t="s">
        <v>40</v>
      </c>
      <c r="C610" s="101" t="s">
        <v>41</v>
      </c>
      <c r="D610" s="22" t="s">
        <v>7</v>
      </c>
      <c r="E610" s="167">
        <v>9.888</v>
      </c>
      <c r="F610" s="24">
        <f>TRUNC(13.08,2)</f>
        <v>13.08</v>
      </c>
      <c r="G610" s="128">
        <f t="shared" si="29"/>
        <v>129.33</v>
      </c>
      <c r="H610" s="128"/>
      <c r="I610" s="128"/>
      <c r="J610" s="55"/>
      <c r="K610" s="55"/>
    </row>
    <row r="611" spans="1:11" s="72" customFormat="1" ht="18.75">
      <c r="A611" s="33"/>
      <c r="B611" s="64" t="s">
        <v>43</v>
      </c>
      <c r="C611" s="101" t="s">
        <v>100</v>
      </c>
      <c r="D611" s="22" t="s">
        <v>7</v>
      </c>
      <c r="E611" s="167">
        <v>4.635</v>
      </c>
      <c r="F611" s="24">
        <f>TRUNC(18.05,2)</f>
        <v>18.05</v>
      </c>
      <c r="G611" s="128">
        <f t="shared" si="29"/>
        <v>83.66</v>
      </c>
      <c r="H611" s="128"/>
      <c r="I611" s="128"/>
      <c r="J611" s="55"/>
      <c r="K611" s="55"/>
    </row>
    <row r="612" spans="1:11" s="72" customFormat="1" ht="36">
      <c r="A612" s="33"/>
      <c r="B612" s="64" t="s">
        <v>74</v>
      </c>
      <c r="C612" s="101" t="s">
        <v>315</v>
      </c>
      <c r="D612" s="22" t="s">
        <v>7</v>
      </c>
      <c r="E612" s="167">
        <v>8.24</v>
      </c>
      <c r="F612" s="24">
        <f>TRUNC(18.05,2)</f>
        <v>18.05</v>
      </c>
      <c r="G612" s="128">
        <f t="shared" si="29"/>
        <v>148.73</v>
      </c>
      <c r="H612" s="128"/>
      <c r="I612" s="128"/>
      <c r="J612" s="55"/>
      <c r="K612" s="55"/>
    </row>
    <row r="613" spans="1:11" s="72" customFormat="1" ht="18.75">
      <c r="A613" s="33"/>
      <c r="B613" s="64" t="s">
        <v>160</v>
      </c>
      <c r="C613" s="101" t="s">
        <v>591</v>
      </c>
      <c r="D613" s="22" t="s">
        <v>39</v>
      </c>
      <c r="E613" s="167">
        <v>0.018</v>
      </c>
      <c r="F613" s="24">
        <f>TRUNC(211.3936,2)</f>
        <v>211.39</v>
      </c>
      <c r="G613" s="128">
        <f t="shared" si="29"/>
        <v>3.8</v>
      </c>
      <c r="H613" s="128"/>
      <c r="I613" s="128"/>
      <c r="J613" s="55"/>
      <c r="K613" s="55"/>
    </row>
    <row r="614" spans="1:11" s="72" customFormat="1" ht="18.75">
      <c r="A614" s="33"/>
      <c r="B614" s="64"/>
      <c r="C614" s="101"/>
      <c r="D614" s="22"/>
      <c r="E614" s="167" t="s">
        <v>5</v>
      </c>
      <c r="F614" s="24"/>
      <c r="G614" s="128">
        <f>TRUNC(SUM(G602:G613),2)</f>
        <v>450.79</v>
      </c>
      <c r="H614" s="128"/>
      <c r="I614" s="128"/>
      <c r="J614" s="55"/>
      <c r="K614" s="55"/>
    </row>
    <row r="615" spans="1:11" s="215" customFormat="1" ht="72">
      <c r="A615" s="211" t="s">
        <v>774</v>
      </c>
      <c r="B615" s="212" t="s">
        <v>247</v>
      </c>
      <c r="C615" s="237" t="s">
        <v>259</v>
      </c>
      <c r="D615" s="156" t="s">
        <v>0</v>
      </c>
      <c r="E615" s="214">
        <v>1</v>
      </c>
      <c r="F615" s="157">
        <f>TRUNC(F616,2)</f>
        <v>236.81</v>
      </c>
      <c r="G615" s="244">
        <f>TRUNC(F615*1.2882,2)</f>
        <v>305.05</v>
      </c>
      <c r="H615" s="244">
        <f>TRUNC(F615*E615,2)</f>
        <v>236.81</v>
      </c>
      <c r="I615" s="244">
        <f>TRUNC(E615*G615,2)</f>
        <v>305.05</v>
      </c>
      <c r="J615" s="210"/>
      <c r="K615" s="210"/>
    </row>
    <row r="616" spans="1:11" s="72" customFormat="1" ht="72">
      <c r="A616" s="33"/>
      <c r="B616" s="64" t="s">
        <v>247</v>
      </c>
      <c r="C616" s="101" t="s">
        <v>916</v>
      </c>
      <c r="D616" s="22" t="s">
        <v>0</v>
      </c>
      <c r="E616" s="167">
        <v>1</v>
      </c>
      <c r="F616" s="24">
        <f>TRUNC(G628,2)</f>
        <v>236.81</v>
      </c>
      <c r="G616" s="128">
        <f aca="true" t="shared" si="30" ref="G616:G627">TRUNC(E616*F616,2)</f>
        <v>236.81</v>
      </c>
      <c r="H616" s="128"/>
      <c r="I616" s="128"/>
      <c r="J616" s="55"/>
      <c r="K616" s="55"/>
    </row>
    <row r="617" spans="1:11" s="72" customFormat="1" ht="18.75">
      <c r="A617" s="33"/>
      <c r="B617" s="64" t="s">
        <v>240</v>
      </c>
      <c r="C617" s="101" t="s">
        <v>760</v>
      </c>
      <c r="D617" s="22" t="s">
        <v>0</v>
      </c>
      <c r="E617" s="167">
        <v>1</v>
      </c>
      <c r="F617" s="24">
        <f>TRUNC(0.55,2)</f>
        <v>0.55</v>
      </c>
      <c r="G617" s="128">
        <f t="shared" si="30"/>
        <v>0.55</v>
      </c>
      <c r="H617" s="128"/>
      <c r="I617" s="128"/>
      <c r="J617" s="55"/>
      <c r="K617" s="55"/>
    </row>
    <row r="618" spans="1:11" s="72" customFormat="1" ht="18.75">
      <c r="A618" s="33"/>
      <c r="B618" s="64" t="s">
        <v>241</v>
      </c>
      <c r="C618" s="101" t="s">
        <v>318</v>
      </c>
      <c r="D618" s="22" t="s">
        <v>0</v>
      </c>
      <c r="E618" s="167">
        <v>1</v>
      </c>
      <c r="F618" s="24">
        <f>TRUNC(0.62,2)</f>
        <v>0.62</v>
      </c>
      <c r="G618" s="128">
        <f t="shared" si="30"/>
        <v>0.62</v>
      </c>
      <c r="H618" s="128"/>
      <c r="I618" s="128"/>
      <c r="J618" s="55"/>
      <c r="K618" s="55"/>
    </row>
    <row r="619" spans="1:11" s="72" customFormat="1" ht="18.75">
      <c r="A619" s="33"/>
      <c r="B619" s="64" t="s">
        <v>242</v>
      </c>
      <c r="C619" s="101" t="s">
        <v>319</v>
      </c>
      <c r="D619" s="22" t="s">
        <v>0</v>
      </c>
      <c r="E619" s="167">
        <v>1</v>
      </c>
      <c r="F619" s="24">
        <f>TRUNC(0.41,2)</f>
        <v>0.41</v>
      </c>
      <c r="G619" s="128">
        <f t="shared" si="30"/>
        <v>0.41</v>
      </c>
      <c r="H619" s="128"/>
      <c r="I619" s="128"/>
      <c r="J619" s="55"/>
      <c r="K619" s="55"/>
    </row>
    <row r="620" spans="1:11" s="72" customFormat="1" ht="18.75">
      <c r="A620" s="33"/>
      <c r="B620" s="64" t="s">
        <v>251</v>
      </c>
      <c r="C620" s="101" t="s">
        <v>917</v>
      </c>
      <c r="D620" s="22" t="s">
        <v>0</v>
      </c>
      <c r="E620" s="167">
        <v>1</v>
      </c>
      <c r="F620" s="24">
        <f>TRUNC(5.38,2)</f>
        <v>5.38</v>
      </c>
      <c r="G620" s="128">
        <f t="shared" si="30"/>
        <v>5.38</v>
      </c>
      <c r="H620" s="128"/>
      <c r="I620" s="128"/>
      <c r="J620" s="55"/>
      <c r="K620" s="55"/>
    </row>
    <row r="621" spans="1:11" s="72" customFormat="1" ht="36">
      <c r="A621" s="33"/>
      <c r="B621" s="64" t="s">
        <v>127</v>
      </c>
      <c r="C621" s="101" t="s">
        <v>320</v>
      </c>
      <c r="D621" s="22" t="s">
        <v>0</v>
      </c>
      <c r="E621" s="167">
        <v>2</v>
      </c>
      <c r="F621" s="24">
        <f>TRUNC(4.41,2)</f>
        <v>4.41</v>
      </c>
      <c r="G621" s="128">
        <f t="shared" si="30"/>
        <v>8.82</v>
      </c>
      <c r="H621" s="128"/>
      <c r="I621" s="128"/>
      <c r="J621" s="55"/>
      <c r="K621" s="55"/>
    </row>
    <row r="622" spans="1:11" s="72" customFormat="1" ht="18.75">
      <c r="A622" s="33"/>
      <c r="B622" s="64" t="s">
        <v>244</v>
      </c>
      <c r="C622" s="101" t="s">
        <v>313</v>
      </c>
      <c r="D622" s="22" t="s">
        <v>52</v>
      </c>
      <c r="E622" s="167">
        <v>18</v>
      </c>
      <c r="F622" s="24">
        <f>TRUNC(0.9406,2)</f>
        <v>0.94</v>
      </c>
      <c r="G622" s="128">
        <f t="shared" si="30"/>
        <v>16.92</v>
      </c>
      <c r="H622" s="128"/>
      <c r="I622" s="128"/>
      <c r="J622" s="55"/>
      <c r="K622" s="55"/>
    </row>
    <row r="623" spans="1:11" s="72" customFormat="1" ht="18.75">
      <c r="A623" s="33"/>
      <c r="B623" s="64" t="s">
        <v>128</v>
      </c>
      <c r="C623" s="101" t="s">
        <v>321</v>
      </c>
      <c r="D623" s="22" t="s">
        <v>0</v>
      </c>
      <c r="E623" s="167">
        <v>4</v>
      </c>
      <c r="F623" s="24">
        <f>TRUNC(0.71,2)</f>
        <v>0.71</v>
      </c>
      <c r="G623" s="128">
        <f t="shared" si="30"/>
        <v>2.84</v>
      </c>
      <c r="H623" s="128"/>
      <c r="I623" s="128"/>
      <c r="J623" s="55"/>
      <c r="K623" s="55"/>
    </row>
    <row r="624" spans="1:11" s="72" customFormat="1" ht="36">
      <c r="A624" s="33"/>
      <c r="B624" s="64" t="s">
        <v>40</v>
      </c>
      <c r="C624" s="101" t="s">
        <v>41</v>
      </c>
      <c r="D624" s="22" t="s">
        <v>7</v>
      </c>
      <c r="E624" s="167">
        <v>5.665</v>
      </c>
      <c r="F624" s="24">
        <f>TRUNC(13.08,2)</f>
        <v>13.08</v>
      </c>
      <c r="G624" s="128">
        <f t="shared" si="30"/>
        <v>74.09</v>
      </c>
      <c r="H624" s="128"/>
      <c r="I624" s="128"/>
      <c r="J624" s="55"/>
      <c r="K624" s="55"/>
    </row>
    <row r="625" spans="1:11" s="72" customFormat="1" ht="18.75">
      <c r="A625" s="33"/>
      <c r="B625" s="64" t="s">
        <v>43</v>
      </c>
      <c r="C625" s="101" t="s">
        <v>100</v>
      </c>
      <c r="D625" s="22" t="s">
        <v>7</v>
      </c>
      <c r="E625" s="167">
        <v>3.09</v>
      </c>
      <c r="F625" s="24">
        <f>TRUNC(18.05,2)</f>
        <v>18.05</v>
      </c>
      <c r="G625" s="128">
        <f t="shared" si="30"/>
        <v>55.77</v>
      </c>
      <c r="H625" s="128"/>
      <c r="I625" s="128"/>
      <c r="J625" s="55"/>
      <c r="K625" s="55"/>
    </row>
    <row r="626" spans="1:11" s="72" customFormat="1" ht="36">
      <c r="A626" s="33"/>
      <c r="B626" s="64" t="s">
        <v>74</v>
      </c>
      <c r="C626" s="101" t="s">
        <v>315</v>
      </c>
      <c r="D626" s="22" t="s">
        <v>7</v>
      </c>
      <c r="E626" s="167">
        <v>3.605</v>
      </c>
      <c r="F626" s="24">
        <f>TRUNC(18.05,2)</f>
        <v>18.05</v>
      </c>
      <c r="G626" s="128">
        <f t="shared" si="30"/>
        <v>65.07</v>
      </c>
      <c r="H626" s="128"/>
      <c r="I626" s="128"/>
      <c r="J626" s="55"/>
      <c r="K626" s="55"/>
    </row>
    <row r="627" spans="1:11" s="72" customFormat="1" ht="18.75">
      <c r="A627" s="33"/>
      <c r="B627" s="64" t="s">
        <v>160</v>
      </c>
      <c r="C627" s="101" t="s">
        <v>591</v>
      </c>
      <c r="D627" s="22" t="s">
        <v>39</v>
      </c>
      <c r="E627" s="167">
        <v>0.03</v>
      </c>
      <c r="F627" s="24">
        <f>TRUNC(211.3936,2)</f>
        <v>211.39</v>
      </c>
      <c r="G627" s="128">
        <f t="shared" si="30"/>
        <v>6.34</v>
      </c>
      <c r="H627" s="128"/>
      <c r="I627" s="128"/>
      <c r="J627" s="55"/>
      <c r="K627" s="55"/>
    </row>
    <row r="628" spans="1:11" s="72" customFormat="1" ht="18.75">
      <c r="A628" s="33"/>
      <c r="B628" s="64"/>
      <c r="C628" s="101"/>
      <c r="D628" s="22"/>
      <c r="E628" s="167" t="s">
        <v>5</v>
      </c>
      <c r="F628" s="24"/>
      <c r="G628" s="128">
        <f>TRUNC(SUM(G617:G627),2)</f>
        <v>236.81</v>
      </c>
      <c r="H628" s="128"/>
      <c r="I628" s="128"/>
      <c r="J628" s="55"/>
      <c r="K628" s="55"/>
    </row>
    <row r="629" spans="1:11" s="215" customFormat="1" ht="72">
      <c r="A629" s="211" t="s">
        <v>775</v>
      </c>
      <c r="B629" s="212" t="s">
        <v>248</v>
      </c>
      <c r="C629" s="237" t="s">
        <v>260</v>
      </c>
      <c r="D629" s="156" t="s">
        <v>0</v>
      </c>
      <c r="E629" s="214">
        <v>1</v>
      </c>
      <c r="F629" s="157">
        <f>TRUNC(F630,2)</f>
        <v>315.75</v>
      </c>
      <c r="G629" s="244">
        <f>TRUNC(F629*1.2882,2)</f>
        <v>406.74</v>
      </c>
      <c r="H629" s="244">
        <f>TRUNC(F629*E629,2)</f>
        <v>315.75</v>
      </c>
      <c r="I629" s="244">
        <f>TRUNC(E629*G629,2)</f>
        <v>406.74</v>
      </c>
      <c r="J629" s="210"/>
      <c r="K629" s="210"/>
    </row>
    <row r="630" spans="1:11" s="75" customFormat="1" ht="72">
      <c r="A630" s="33"/>
      <c r="B630" s="64" t="s">
        <v>248</v>
      </c>
      <c r="C630" s="101" t="s">
        <v>918</v>
      </c>
      <c r="D630" s="22" t="s">
        <v>0</v>
      </c>
      <c r="E630" s="167">
        <v>1</v>
      </c>
      <c r="F630" s="24">
        <f>TRUNC(G642,2)</f>
        <v>315.75</v>
      </c>
      <c r="G630" s="239">
        <f aca="true" t="shared" si="31" ref="G630:G641">TRUNC(E630*F630,2)</f>
        <v>315.75</v>
      </c>
      <c r="H630" s="128"/>
      <c r="I630" s="128"/>
      <c r="J630" s="55"/>
      <c r="K630" s="55"/>
    </row>
    <row r="631" spans="1:11" s="75" customFormat="1" ht="18.75">
      <c r="A631" s="33"/>
      <c r="B631" s="64" t="s">
        <v>240</v>
      </c>
      <c r="C631" s="101" t="s">
        <v>760</v>
      </c>
      <c r="D631" s="22" t="s">
        <v>0</v>
      </c>
      <c r="E631" s="167">
        <v>1</v>
      </c>
      <c r="F631" s="24">
        <f>TRUNC(0.55,2)</f>
        <v>0.55</v>
      </c>
      <c r="G631" s="128">
        <f t="shared" si="31"/>
        <v>0.55</v>
      </c>
      <c r="H631" s="128"/>
      <c r="I631" s="128"/>
      <c r="J631" s="55"/>
      <c r="K631" s="55"/>
    </row>
    <row r="632" spans="1:11" s="75" customFormat="1" ht="18.75">
      <c r="A632" s="33"/>
      <c r="B632" s="64" t="s">
        <v>241</v>
      </c>
      <c r="C632" s="101" t="s">
        <v>318</v>
      </c>
      <c r="D632" s="22" t="s">
        <v>0</v>
      </c>
      <c r="E632" s="167">
        <v>1</v>
      </c>
      <c r="F632" s="24">
        <f>TRUNC(0.62,2)</f>
        <v>0.62</v>
      </c>
      <c r="G632" s="128">
        <f t="shared" si="31"/>
        <v>0.62</v>
      </c>
      <c r="H632" s="128"/>
      <c r="I632" s="128"/>
      <c r="J632" s="55"/>
      <c r="K632" s="55"/>
    </row>
    <row r="633" spans="1:11" s="75" customFormat="1" ht="18.75">
      <c r="A633" s="33"/>
      <c r="B633" s="64" t="s">
        <v>242</v>
      </c>
      <c r="C633" s="101" t="s">
        <v>319</v>
      </c>
      <c r="D633" s="22" t="s">
        <v>0</v>
      </c>
      <c r="E633" s="167">
        <v>1</v>
      </c>
      <c r="F633" s="24">
        <f>TRUNC(0.41,2)</f>
        <v>0.41</v>
      </c>
      <c r="G633" s="128">
        <f t="shared" si="31"/>
        <v>0.41</v>
      </c>
      <c r="H633" s="128"/>
      <c r="I633" s="128"/>
      <c r="J633" s="55"/>
      <c r="K633" s="55"/>
    </row>
    <row r="634" spans="1:11" s="75" customFormat="1" ht="18.75">
      <c r="A634" s="33"/>
      <c r="B634" s="64" t="s">
        <v>251</v>
      </c>
      <c r="C634" s="101" t="s">
        <v>917</v>
      </c>
      <c r="D634" s="22" t="s">
        <v>0</v>
      </c>
      <c r="E634" s="167">
        <v>2</v>
      </c>
      <c r="F634" s="24">
        <f>TRUNC(5.38,2)</f>
        <v>5.38</v>
      </c>
      <c r="G634" s="128">
        <f t="shared" si="31"/>
        <v>10.76</v>
      </c>
      <c r="H634" s="128"/>
      <c r="I634" s="128"/>
      <c r="J634" s="55"/>
      <c r="K634" s="55"/>
    </row>
    <row r="635" spans="1:11" s="75" customFormat="1" ht="36">
      <c r="A635" s="33"/>
      <c r="B635" s="64" t="s">
        <v>127</v>
      </c>
      <c r="C635" s="101" t="s">
        <v>320</v>
      </c>
      <c r="D635" s="22" t="s">
        <v>0</v>
      </c>
      <c r="E635" s="167">
        <v>3</v>
      </c>
      <c r="F635" s="24">
        <f>TRUNC(4.41,2)</f>
        <v>4.41</v>
      </c>
      <c r="G635" s="128">
        <f t="shared" si="31"/>
        <v>13.23</v>
      </c>
      <c r="H635" s="128"/>
      <c r="I635" s="128"/>
      <c r="J635" s="55"/>
      <c r="K635" s="55"/>
    </row>
    <row r="636" spans="1:11" s="75" customFormat="1" ht="18.75">
      <c r="A636" s="33"/>
      <c r="B636" s="64" t="s">
        <v>244</v>
      </c>
      <c r="C636" s="101" t="s">
        <v>313</v>
      </c>
      <c r="D636" s="22" t="s">
        <v>52</v>
      </c>
      <c r="E636" s="167">
        <v>27</v>
      </c>
      <c r="F636" s="24">
        <f>TRUNC(0.9406,2)</f>
        <v>0.94</v>
      </c>
      <c r="G636" s="128">
        <f t="shared" si="31"/>
        <v>25.38</v>
      </c>
      <c r="H636" s="128"/>
      <c r="I636" s="128"/>
      <c r="J636" s="55"/>
      <c r="K636" s="55"/>
    </row>
    <row r="637" spans="1:11" s="75" customFormat="1" ht="18.75">
      <c r="A637" s="33"/>
      <c r="B637" s="64" t="s">
        <v>128</v>
      </c>
      <c r="C637" s="101" t="s">
        <v>321</v>
      </c>
      <c r="D637" s="22" t="s">
        <v>0</v>
      </c>
      <c r="E637" s="167">
        <v>4</v>
      </c>
      <c r="F637" s="24">
        <f>TRUNC(0.71,2)</f>
        <v>0.71</v>
      </c>
      <c r="G637" s="128">
        <f t="shared" si="31"/>
        <v>2.84</v>
      </c>
      <c r="H637" s="128"/>
      <c r="I637" s="128"/>
      <c r="J637" s="55"/>
      <c r="K637" s="55"/>
    </row>
    <row r="638" spans="1:11" s="75" customFormat="1" ht="36">
      <c r="A638" s="33"/>
      <c r="B638" s="64" t="s">
        <v>40</v>
      </c>
      <c r="C638" s="101" t="s">
        <v>41</v>
      </c>
      <c r="D638" s="22" t="s">
        <v>7</v>
      </c>
      <c r="E638" s="167">
        <v>6.695</v>
      </c>
      <c r="F638" s="24">
        <f>TRUNC(13.08,2)</f>
        <v>13.08</v>
      </c>
      <c r="G638" s="128">
        <f t="shared" si="31"/>
        <v>87.57</v>
      </c>
      <c r="H638" s="128"/>
      <c r="I638" s="128"/>
      <c r="J638" s="55"/>
      <c r="K638" s="55"/>
    </row>
    <row r="639" spans="1:11" s="75" customFormat="1" ht="18.75">
      <c r="A639" s="33"/>
      <c r="B639" s="64" t="s">
        <v>43</v>
      </c>
      <c r="C639" s="101" t="s">
        <v>100</v>
      </c>
      <c r="D639" s="22" t="s">
        <v>7</v>
      </c>
      <c r="E639" s="167">
        <v>4.5</v>
      </c>
      <c r="F639" s="24">
        <f>TRUNC(18.05,2)</f>
        <v>18.05</v>
      </c>
      <c r="G639" s="128">
        <f t="shared" si="31"/>
        <v>81.22</v>
      </c>
      <c r="H639" s="128"/>
      <c r="I639" s="128"/>
      <c r="J639" s="55"/>
      <c r="K639" s="55"/>
    </row>
    <row r="640" spans="1:11" s="75" customFormat="1" ht="36">
      <c r="A640" s="33"/>
      <c r="B640" s="64" t="s">
        <v>74</v>
      </c>
      <c r="C640" s="101" t="s">
        <v>315</v>
      </c>
      <c r="D640" s="22" t="s">
        <v>7</v>
      </c>
      <c r="E640" s="167">
        <v>4.635</v>
      </c>
      <c r="F640" s="24">
        <f>TRUNC(18.05,2)</f>
        <v>18.05</v>
      </c>
      <c r="G640" s="128">
        <f t="shared" si="31"/>
        <v>83.66</v>
      </c>
      <c r="H640" s="128"/>
      <c r="I640" s="128"/>
      <c r="J640" s="55"/>
      <c r="K640" s="55"/>
    </row>
    <row r="641" spans="1:11" s="75" customFormat="1" ht="18.75">
      <c r="A641" s="33"/>
      <c r="B641" s="64" t="s">
        <v>160</v>
      </c>
      <c r="C641" s="101" t="s">
        <v>591</v>
      </c>
      <c r="D641" s="22" t="s">
        <v>39</v>
      </c>
      <c r="E641" s="167">
        <v>0.045</v>
      </c>
      <c r="F641" s="24">
        <f>TRUNC(211.3936,2)</f>
        <v>211.39</v>
      </c>
      <c r="G641" s="128">
        <f t="shared" si="31"/>
        <v>9.51</v>
      </c>
      <c r="H641" s="128"/>
      <c r="I641" s="128"/>
      <c r="J641" s="55"/>
      <c r="K641" s="55"/>
    </row>
    <row r="642" spans="1:11" s="75" customFormat="1" ht="18.75">
      <c r="A642" s="33"/>
      <c r="B642" s="64"/>
      <c r="C642" s="101"/>
      <c r="D642" s="22"/>
      <c r="E642" s="167" t="s">
        <v>5</v>
      </c>
      <c r="F642" s="24"/>
      <c r="G642" s="128">
        <f>TRUNC(SUM(G631:G641),2)</f>
        <v>315.75</v>
      </c>
      <c r="H642" s="128"/>
      <c r="I642" s="128"/>
      <c r="J642" s="55"/>
      <c r="K642" s="55"/>
    </row>
    <row r="643" spans="1:11" s="215" customFormat="1" ht="72">
      <c r="A643" s="211" t="s">
        <v>776</v>
      </c>
      <c r="B643" s="212" t="s">
        <v>249</v>
      </c>
      <c r="C643" s="237" t="s">
        <v>261</v>
      </c>
      <c r="D643" s="156" t="s">
        <v>0</v>
      </c>
      <c r="E643" s="214">
        <v>1</v>
      </c>
      <c r="F643" s="157">
        <f>TRUNC(F644,2)</f>
        <v>407.27</v>
      </c>
      <c r="G643" s="244">
        <f>TRUNC(F643*1.2882,2)</f>
        <v>524.64</v>
      </c>
      <c r="H643" s="244">
        <f>TRUNC(F643*E643,2)</f>
        <v>407.27</v>
      </c>
      <c r="I643" s="244">
        <f>TRUNC(E643*G643,2)</f>
        <v>524.64</v>
      </c>
      <c r="J643" s="210"/>
      <c r="K643" s="210"/>
    </row>
    <row r="644" spans="1:11" s="72" customFormat="1" ht="72">
      <c r="A644" s="33"/>
      <c r="B644" s="64" t="s">
        <v>249</v>
      </c>
      <c r="C644" s="101" t="s">
        <v>919</v>
      </c>
      <c r="D644" s="22" t="s">
        <v>0</v>
      </c>
      <c r="E644" s="167">
        <v>1</v>
      </c>
      <c r="F644" s="24">
        <f>TRUNC(G656,2)</f>
        <v>407.27</v>
      </c>
      <c r="G644" s="128">
        <f aca="true" t="shared" si="32" ref="G644:G655">TRUNC(E644*F644,2)</f>
        <v>407.27</v>
      </c>
      <c r="H644" s="128"/>
      <c r="I644" s="128"/>
      <c r="J644" s="55"/>
      <c r="K644" s="55"/>
    </row>
    <row r="645" spans="1:11" s="72" customFormat="1" ht="18.75">
      <c r="A645" s="33"/>
      <c r="B645" s="64" t="s">
        <v>240</v>
      </c>
      <c r="C645" s="101" t="s">
        <v>760</v>
      </c>
      <c r="D645" s="22" t="s">
        <v>0</v>
      </c>
      <c r="E645" s="167">
        <v>3</v>
      </c>
      <c r="F645" s="24">
        <f>TRUNC(0.55,2)</f>
        <v>0.55</v>
      </c>
      <c r="G645" s="128">
        <f t="shared" si="32"/>
        <v>1.65</v>
      </c>
      <c r="H645" s="128"/>
      <c r="I645" s="128"/>
      <c r="J645" s="55"/>
      <c r="K645" s="55"/>
    </row>
    <row r="646" spans="1:11" s="72" customFormat="1" ht="18.75">
      <c r="A646" s="33"/>
      <c r="B646" s="64" t="s">
        <v>241</v>
      </c>
      <c r="C646" s="101" t="s">
        <v>318</v>
      </c>
      <c r="D646" s="22" t="s">
        <v>0</v>
      </c>
      <c r="E646" s="167">
        <v>1</v>
      </c>
      <c r="F646" s="24">
        <f>TRUNC(0.62,2)</f>
        <v>0.62</v>
      </c>
      <c r="G646" s="128">
        <f t="shared" si="32"/>
        <v>0.62</v>
      </c>
      <c r="H646" s="128"/>
      <c r="I646" s="128"/>
      <c r="J646" s="55"/>
      <c r="K646" s="55"/>
    </row>
    <row r="647" spans="1:11" s="72" customFormat="1" ht="18.75">
      <c r="A647" s="33"/>
      <c r="B647" s="64" t="s">
        <v>242</v>
      </c>
      <c r="C647" s="101" t="s">
        <v>319</v>
      </c>
      <c r="D647" s="22" t="s">
        <v>0</v>
      </c>
      <c r="E647" s="167">
        <v>1</v>
      </c>
      <c r="F647" s="24">
        <f>TRUNC(0.41,2)</f>
        <v>0.41</v>
      </c>
      <c r="G647" s="128">
        <f t="shared" si="32"/>
        <v>0.41</v>
      </c>
      <c r="H647" s="128"/>
      <c r="I647" s="128"/>
      <c r="J647" s="55"/>
      <c r="K647" s="55"/>
    </row>
    <row r="648" spans="1:11" s="72" customFormat="1" ht="18.75">
      <c r="A648" s="33"/>
      <c r="B648" s="64" t="s">
        <v>251</v>
      </c>
      <c r="C648" s="101" t="s">
        <v>917</v>
      </c>
      <c r="D648" s="22" t="s">
        <v>0</v>
      </c>
      <c r="E648" s="167">
        <v>3</v>
      </c>
      <c r="F648" s="24">
        <f>TRUNC(5.38,2)</f>
        <v>5.38</v>
      </c>
      <c r="G648" s="128">
        <f t="shared" si="32"/>
        <v>16.14</v>
      </c>
      <c r="H648" s="128"/>
      <c r="I648" s="128"/>
      <c r="J648" s="55"/>
      <c r="K648" s="55"/>
    </row>
    <row r="649" spans="1:11" s="72" customFormat="1" ht="36">
      <c r="A649" s="33"/>
      <c r="B649" s="64" t="s">
        <v>127</v>
      </c>
      <c r="C649" s="101" t="s">
        <v>320</v>
      </c>
      <c r="D649" s="22" t="s">
        <v>0</v>
      </c>
      <c r="E649" s="167">
        <v>4</v>
      </c>
      <c r="F649" s="24">
        <f>TRUNC(4.41,2)</f>
        <v>4.41</v>
      </c>
      <c r="G649" s="128">
        <f t="shared" si="32"/>
        <v>17.64</v>
      </c>
      <c r="H649" s="128"/>
      <c r="I649" s="128"/>
      <c r="J649" s="55"/>
      <c r="K649" s="55"/>
    </row>
    <row r="650" spans="1:11" s="72" customFormat="1" ht="18.75">
      <c r="A650" s="33"/>
      <c r="B650" s="64" t="s">
        <v>244</v>
      </c>
      <c r="C650" s="101" t="s">
        <v>313</v>
      </c>
      <c r="D650" s="22" t="s">
        <v>52</v>
      </c>
      <c r="E650" s="167">
        <v>37</v>
      </c>
      <c r="F650" s="24">
        <f>TRUNC(0.9406,2)</f>
        <v>0.94</v>
      </c>
      <c r="G650" s="128">
        <f t="shared" si="32"/>
        <v>34.78</v>
      </c>
      <c r="H650" s="128"/>
      <c r="I650" s="128"/>
      <c r="J650" s="55"/>
      <c r="K650" s="55"/>
    </row>
    <row r="651" spans="1:11" s="72" customFormat="1" ht="18.75">
      <c r="A651" s="33"/>
      <c r="B651" s="64" t="s">
        <v>128</v>
      </c>
      <c r="C651" s="101" t="s">
        <v>321</v>
      </c>
      <c r="D651" s="22" t="s">
        <v>0</v>
      </c>
      <c r="E651" s="167">
        <v>12</v>
      </c>
      <c r="F651" s="24">
        <f>TRUNC(0.71,2)</f>
        <v>0.71</v>
      </c>
      <c r="G651" s="128">
        <f t="shared" si="32"/>
        <v>8.52</v>
      </c>
      <c r="H651" s="128"/>
      <c r="I651" s="128"/>
      <c r="J651" s="55"/>
      <c r="K651" s="55"/>
    </row>
    <row r="652" spans="1:11" s="72" customFormat="1" ht="36">
      <c r="A652" s="33"/>
      <c r="B652" s="64" t="s">
        <v>40</v>
      </c>
      <c r="C652" s="101" t="s">
        <v>41</v>
      </c>
      <c r="D652" s="22" t="s">
        <v>7</v>
      </c>
      <c r="E652" s="167">
        <v>7.7250000000000005</v>
      </c>
      <c r="F652" s="24">
        <f>TRUNC(13.08,2)</f>
        <v>13.08</v>
      </c>
      <c r="G652" s="128">
        <f t="shared" si="32"/>
        <v>101.04</v>
      </c>
      <c r="H652" s="128"/>
      <c r="I652" s="128"/>
      <c r="J652" s="55"/>
      <c r="K652" s="55"/>
    </row>
    <row r="653" spans="1:11" s="72" customFormat="1" ht="18.75">
      <c r="A653" s="33"/>
      <c r="B653" s="64" t="s">
        <v>43</v>
      </c>
      <c r="C653" s="101" t="s">
        <v>100</v>
      </c>
      <c r="D653" s="22" t="s">
        <v>7</v>
      </c>
      <c r="E653" s="167">
        <v>6.18</v>
      </c>
      <c r="F653" s="24">
        <f>TRUNC(18.05,2)</f>
        <v>18.05</v>
      </c>
      <c r="G653" s="128">
        <f t="shared" si="32"/>
        <v>111.54</v>
      </c>
      <c r="H653" s="128"/>
      <c r="I653" s="128"/>
      <c r="J653" s="55"/>
      <c r="K653" s="55"/>
    </row>
    <row r="654" spans="1:11" s="72" customFormat="1" ht="36">
      <c r="A654" s="33"/>
      <c r="B654" s="64" t="s">
        <v>74</v>
      </c>
      <c r="C654" s="101" t="s">
        <v>315</v>
      </c>
      <c r="D654" s="22" t="s">
        <v>7</v>
      </c>
      <c r="E654" s="167">
        <v>5.665</v>
      </c>
      <c r="F654" s="24">
        <f>TRUNC(18.05,2)</f>
        <v>18.05</v>
      </c>
      <c r="G654" s="128">
        <f t="shared" si="32"/>
        <v>102.25</v>
      </c>
      <c r="H654" s="128"/>
      <c r="I654" s="128"/>
      <c r="J654" s="55"/>
      <c r="K654" s="55"/>
    </row>
    <row r="655" spans="1:11" s="72" customFormat="1" ht="18.75">
      <c r="A655" s="33"/>
      <c r="B655" s="64" t="s">
        <v>160</v>
      </c>
      <c r="C655" s="101" t="s">
        <v>591</v>
      </c>
      <c r="D655" s="22" t="s">
        <v>39</v>
      </c>
      <c r="E655" s="167">
        <v>0.06</v>
      </c>
      <c r="F655" s="24">
        <f>TRUNC(211.3936,2)</f>
        <v>211.39</v>
      </c>
      <c r="G655" s="128">
        <f t="shared" si="32"/>
        <v>12.68</v>
      </c>
      <c r="H655" s="128"/>
      <c r="I655" s="128"/>
      <c r="J655" s="55"/>
      <c r="K655" s="55"/>
    </row>
    <row r="656" spans="1:11" s="72" customFormat="1" ht="18.75">
      <c r="A656" s="33"/>
      <c r="B656" s="64"/>
      <c r="C656" s="101"/>
      <c r="D656" s="22"/>
      <c r="E656" s="167" t="s">
        <v>5</v>
      </c>
      <c r="F656" s="24"/>
      <c r="G656" s="128">
        <f>TRUNC(SUM(G645:G655),2)</f>
        <v>407.27</v>
      </c>
      <c r="H656" s="128"/>
      <c r="I656" s="128"/>
      <c r="J656" s="55"/>
      <c r="K656" s="55"/>
    </row>
    <row r="657" spans="1:11" s="215" customFormat="1" ht="54">
      <c r="A657" s="211" t="s">
        <v>777</v>
      </c>
      <c r="B657" s="212" t="s">
        <v>250</v>
      </c>
      <c r="C657" s="237" t="s">
        <v>314</v>
      </c>
      <c r="D657" s="156" t="s">
        <v>0</v>
      </c>
      <c r="E657" s="214">
        <v>3</v>
      </c>
      <c r="F657" s="157">
        <f>TRUNC(F658,2)</f>
        <v>491.09</v>
      </c>
      <c r="G657" s="244">
        <f>TRUNC(F657*1.2882,2)</f>
        <v>632.62</v>
      </c>
      <c r="H657" s="244">
        <f>TRUNC(F657*E657,2)</f>
        <v>1473.27</v>
      </c>
      <c r="I657" s="244">
        <f>TRUNC(E657*G657,2)</f>
        <v>1897.86</v>
      </c>
      <c r="J657" s="210"/>
      <c r="K657" s="210"/>
    </row>
    <row r="658" spans="1:11" s="72" customFormat="1" ht="72">
      <c r="A658" s="33"/>
      <c r="B658" s="64" t="s">
        <v>250</v>
      </c>
      <c r="C658" s="101" t="s">
        <v>920</v>
      </c>
      <c r="D658" s="22" t="s">
        <v>0</v>
      </c>
      <c r="E658" s="167">
        <v>1</v>
      </c>
      <c r="F658" s="24">
        <f>TRUNC(G670,2)</f>
        <v>491.09</v>
      </c>
      <c r="G658" s="239">
        <f aca="true" t="shared" si="33" ref="G658:G669">TRUNC(E658*F658,2)</f>
        <v>491.09</v>
      </c>
      <c r="H658" s="128"/>
      <c r="I658" s="128"/>
      <c r="J658" s="55"/>
      <c r="K658" s="55"/>
    </row>
    <row r="659" spans="1:11" s="72" customFormat="1" ht="18.75">
      <c r="A659" s="33"/>
      <c r="B659" s="64" t="s">
        <v>240</v>
      </c>
      <c r="C659" s="101" t="s">
        <v>760</v>
      </c>
      <c r="D659" s="22" t="s">
        <v>0</v>
      </c>
      <c r="E659" s="167">
        <v>4</v>
      </c>
      <c r="F659" s="24">
        <f>TRUNC(0.55,2)</f>
        <v>0.55</v>
      </c>
      <c r="G659" s="128">
        <f t="shared" si="33"/>
        <v>2.2</v>
      </c>
      <c r="H659" s="128"/>
      <c r="I659" s="128"/>
      <c r="J659" s="55"/>
      <c r="K659" s="55"/>
    </row>
    <row r="660" spans="1:11" s="72" customFormat="1" ht="18.75">
      <c r="A660" s="33"/>
      <c r="B660" s="64" t="s">
        <v>241</v>
      </c>
      <c r="C660" s="101" t="s">
        <v>318</v>
      </c>
      <c r="D660" s="22" t="s">
        <v>0</v>
      </c>
      <c r="E660" s="167">
        <v>1</v>
      </c>
      <c r="F660" s="24">
        <f>TRUNC(0.62,2)</f>
        <v>0.62</v>
      </c>
      <c r="G660" s="128">
        <f t="shared" si="33"/>
        <v>0.62</v>
      </c>
      <c r="H660" s="128"/>
      <c r="I660" s="128"/>
      <c r="J660" s="55"/>
      <c r="K660" s="55"/>
    </row>
    <row r="661" spans="1:11" s="72" customFormat="1" ht="18.75">
      <c r="A661" s="33"/>
      <c r="B661" s="64" t="s">
        <v>242</v>
      </c>
      <c r="C661" s="101" t="s">
        <v>319</v>
      </c>
      <c r="D661" s="22" t="s">
        <v>0</v>
      </c>
      <c r="E661" s="167">
        <v>1</v>
      </c>
      <c r="F661" s="24">
        <f>TRUNC(0.41,2)</f>
        <v>0.41</v>
      </c>
      <c r="G661" s="128">
        <f t="shared" si="33"/>
        <v>0.41</v>
      </c>
      <c r="H661" s="128"/>
      <c r="I661" s="128"/>
      <c r="J661" s="55"/>
      <c r="K661" s="55"/>
    </row>
    <row r="662" spans="1:11" s="72" customFormat="1" ht="18.75">
      <c r="A662" s="33"/>
      <c r="B662" s="64" t="s">
        <v>251</v>
      </c>
      <c r="C662" s="101" t="s">
        <v>917</v>
      </c>
      <c r="D662" s="22" t="s">
        <v>0</v>
      </c>
      <c r="E662" s="167">
        <v>4</v>
      </c>
      <c r="F662" s="24">
        <f>TRUNC(5.38,2)</f>
        <v>5.38</v>
      </c>
      <c r="G662" s="128">
        <f t="shared" si="33"/>
        <v>21.52</v>
      </c>
      <c r="H662" s="128"/>
      <c r="I662" s="128"/>
      <c r="J662" s="55"/>
      <c r="K662" s="55"/>
    </row>
    <row r="663" spans="1:11" s="72" customFormat="1" ht="36">
      <c r="A663" s="33"/>
      <c r="B663" s="64" t="s">
        <v>127</v>
      </c>
      <c r="C663" s="101" t="s">
        <v>320</v>
      </c>
      <c r="D663" s="22" t="s">
        <v>0</v>
      </c>
      <c r="E663" s="167">
        <v>5</v>
      </c>
      <c r="F663" s="24">
        <f>TRUNC(4.41,2)</f>
        <v>4.41</v>
      </c>
      <c r="G663" s="128">
        <f t="shared" si="33"/>
        <v>22.05</v>
      </c>
      <c r="H663" s="128"/>
      <c r="I663" s="128"/>
      <c r="J663" s="55"/>
      <c r="K663" s="55"/>
    </row>
    <row r="664" spans="1:11" s="72" customFormat="1" ht="18.75">
      <c r="A664" s="33"/>
      <c r="B664" s="64" t="s">
        <v>244</v>
      </c>
      <c r="C664" s="101" t="s">
        <v>313</v>
      </c>
      <c r="D664" s="22" t="s">
        <v>52</v>
      </c>
      <c r="E664" s="167">
        <v>45</v>
      </c>
      <c r="F664" s="24">
        <f>TRUNC(0.9406,2)</f>
        <v>0.94</v>
      </c>
      <c r="G664" s="128">
        <f t="shared" si="33"/>
        <v>42.3</v>
      </c>
      <c r="H664" s="128"/>
      <c r="I664" s="128"/>
      <c r="J664" s="55"/>
      <c r="K664" s="55"/>
    </row>
    <row r="665" spans="1:11" s="72" customFormat="1" ht="18.75">
      <c r="A665" s="33"/>
      <c r="B665" s="64" t="s">
        <v>128</v>
      </c>
      <c r="C665" s="101" t="s">
        <v>321</v>
      </c>
      <c r="D665" s="22" t="s">
        <v>0</v>
      </c>
      <c r="E665" s="167">
        <v>16</v>
      </c>
      <c r="F665" s="24">
        <f>TRUNC(0.71,2)</f>
        <v>0.71</v>
      </c>
      <c r="G665" s="128">
        <f t="shared" si="33"/>
        <v>11.36</v>
      </c>
      <c r="H665" s="128"/>
      <c r="I665" s="128"/>
      <c r="J665" s="55"/>
      <c r="K665" s="55"/>
    </row>
    <row r="666" spans="1:11" s="72" customFormat="1" ht="36">
      <c r="A666" s="33"/>
      <c r="B666" s="64" t="s">
        <v>40</v>
      </c>
      <c r="C666" s="101" t="s">
        <v>41</v>
      </c>
      <c r="D666" s="22" t="s">
        <v>7</v>
      </c>
      <c r="E666" s="167">
        <v>8.755</v>
      </c>
      <c r="F666" s="24">
        <f>TRUNC(13.08,2)</f>
        <v>13.08</v>
      </c>
      <c r="G666" s="128">
        <f t="shared" si="33"/>
        <v>114.51</v>
      </c>
      <c r="H666" s="128"/>
      <c r="I666" s="128"/>
      <c r="J666" s="55"/>
      <c r="K666" s="55"/>
    </row>
    <row r="667" spans="1:11" s="72" customFormat="1" ht="18.75">
      <c r="A667" s="33"/>
      <c r="B667" s="64" t="s">
        <v>43</v>
      </c>
      <c r="C667" s="101" t="s">
        <v>100</v>
      </c>
      <c r="D667" s="22" t="s">
        <v>7</v>
      </c>
      <c r="E667" s="167">
        <v>7.7250000000000005</v>
      </c>
      <c r="F667" s="24">
        <f>TRUNC(18.05,2)</f>
        <v>18.05</v>
      </c>
      <c r="G667" s="128">
        <f t="shared" si="33"/>
        <v>139.43</v>
      </c>
      <c r="H667" s="128"/>
      <c r="I667" s="128"/>
      <c r="J667" s="55"/>
      <c r="K667" s="55"/>
    </row>
    <row r="668" spans="1:11" s="72" customFormat="1" ht="36">
      <c r="A668" s="33"/>
      <c r="B668" s="64" t="s">
        <v>74</v>
      </c>
      <c r="C668" s="101" t="s">
        <v>315</v>
      </c>
      <c r="D668" s="22" t="s">
        <v>7</v>
      </c>
      <c r="E668" s="167">
        <v>6.695</v>
      </c>
      <c r="F668" s="24">
        <f>TRUNC(18.05,2)</f>
        <v>18.05</v>
      </c>
      <c r="G668" s="128">
        <f t="shared" si="33"/>
        <v>120.84</v>
      </c>
      <c r="H668" s="128"/>
      <c r="I668" s="128"/>
      <c r="J668" s="55"/>
      <c r="K668" s="55"/>
    </row>
    <row r="669" spans="1:11" s="72" customFormat="1" ht="18.75">
      <c r="A669" s="33"/>
      <c r="B669" s="64" t="s">
        <v>160</v>
      </c>
      <c r="C669" s="101" t="s">
        <v>591</v>
      </c>
      <c r="D669" s="22" t="s">
        <v>39</v>
      </c>
      <c r="E669" s="167">
        <v>0.075</v>
      </c>
      <c r="F669" s="24">
        <f>TRUNC(211.3936,2)</f>
        <v>211.39</v>
      </c>
      <c r="G669" s="128">
        <f t="shared" si="33"/>
        <v>15.85</v>
      </c>
      <c r="H669" s="128"/>
      <c r="I669" s="128"/>
      <c r="J669" s="55"/>
      <c r="K669" s="55"/>
    </row>
    <row r="670" spans="1:11" s="72" customFormat="1" ht="18.75">
      <c r="A670" s="33"/>
      <c r="B670" s="64"/>
      <c r="C670" s="101"/>
      <c r="D670" s="22"/>
      <c r="E670" s="167" t="s">
        <v>5</v>
      </c>
      <c r="F670" s="24"/>
      <c r="G670" s="128">
        <f>TRUNC(SUM(G659:G669),2)</f>
        <v>491.09</v>
      </c>
      <c r="H670" s="128"/>
      <c r="I670" s="128"/>
      <c r="J670" s="55"/>
      <c r="K670" s="55"/>
    </row>
    <row r="671" spans="1:11" s="234" customFormat="1" ht="54">
      <c r="A671" s="218" t="s">
        <v>778</v>
      </c>
      <c r="B671" s="269" t="s">
        <v>927</v>
      </c>
      <c r="C671" s="270" t="s">
        <v>826</v>
      </c>
      <c r="D671" s="187" t="s">
        <v>0</v>
      </c>
      <c r="E671" s="220">
        <v>11</v>
      </c>
      <c r="F671" s="188">
        <f>TRUNC(G680,2)</f>
        <v>133.72</v>
      </c>
      <c r="G671" s="244">
        <f>TRUNC(F671*1.2882,2)</f>
        <v>172.25</v>
      </c>
      <c r="H671" s="244">
        <f>TRUNC(F671*E671,2)</f>
        <v>1470.92</v>
      </c>
      <c r="I671" s="244">
        <f>TRUNC(E671*G671,2)</f>
        <v>1894.75</v>
      </c>
      <c r="J671" s="203"/>
      <c r="K671" s="203"/>
    </row>
    <row r="672" spans="1:11" ht="72">
      <c r="A672" s="31"/>
      <c r="B672" s="79" t="s">
        <v>824</v>
      </c>
      <c r="C672" s="99" t="s">
        <v>921</v>
      </c>
      <c r="D672" s="18" t="s">
        <v>0</v>
      </c>
      <c r="E672" s="169">
        <v>1</v>
      </c>
      <c r="F672" s="19">
        <f>TRUNC(103.927319,2)</f>
        <v>103.92</v>
      </c>
      <c r="G672" s="239">
        <f aca="true" t="shared" si="34" ref="G672:G679">TRUNC(E672*F672,2)</f>
        <v>103.92</v>
      </c>
      <c r="H672" s="128"/>
      <c r="I672" s="128"/>
      <c r="J672" s="55"/>
      <c r="K672" s="55"/>
    </row>
    <row r="673" spans="1:11" ht="36">
      <c r="A673" s="33"/>
      <c r="B673" s="64">
        <v>5067</v>
      </c>
      <c r="C673" s="101" t="s">
        <v>922</v>
      </c>
      <c r="D673" s="22" t="s">
        <v>0</v>
      </c>
      <c r="E673" s="167">
        <v>1</v>
      </c>
      <c r="F673" s="24">
        <v>10.69</v>
      </c>
      <c r="G673" s="128">
        <f t="shared" si="34"/>
        <v>10.69</v>
      </c>
      <c r="H673" s="128"/>
      <c r="I673" s="128"/>
      <c r="J673" s="55"/>
      <c r="K673" s="55"/>
    </row>
    <row r="674" spans="1:11" ht="18.75">
      <c r="A674" s="33"/>
      <c r="B674" s="64" t="s">
        <v>825</v>
      </c>
      <c r="C674" s="101" t="s">
        <v>923</v>
      </c>
      <c r="D674" s="22" t="s">
        <v>0</v>
      </c>
      <c r="E674" s="167">
        <v>1</v>
      </c>
      <c r="F674" s="24">
        <v>2.95</v>
      </c>
      <c r="G674" s="128">
        <f t="shared" si="34"/>
        <v>2.95</v>
      </c>
      <c r="H674" s="128"/>
      <c r="I674" s="128"/>
      <c r="J674" s="55"/>
      <c r="K674" s="55"/>
    </row>
    <row r="675" spans="1:11" ht="18.75">
      <c r="A675" s="33"/>
      <c r="B675" s="64" t="s">
        <v>255</v>
      </c>
      <c r="C675" s="101" t="s">
        <v>1007</v>
      </c>
      <c r="D675" s="22" t="s">
        <v>0</v>
      </c>
      <c r="E675" s="167">
        <v>4</v>
      </c>
      <c r="F675" s="24">
        <v>1.7</v>
      </c>
      <c r="G675" s="128">
        <f t="shared" si="34"/>
        <v>6.8</v>
      </c>
      <c r="H675" s="128"/>
      <c r="I675" s="128"/>
      <c r="J675" s="55"/>
      <c r="K675" s="55"/>
    </row>
    <row r="676" spans="1:11" ht="36">
      <c r="A676" s="33"/>
      <c r="B676" s="64" t="s">
        <v>801</v>
      </c>
      <c r="C676" s="101" t="s">
        <v>924</v>
      </c>
      <c r="D676" s="22" t="s">
        <v>0</v>
      </c>
      <c r="E676" s="167">
        <v>0</v>
      </c>
      <c r="F676" s="24">
        <v>25.2</v>
      </c>
      <c r="G676" s="128">
        <f t="shared" si="34"/>
        <v>0</v>
      </c>
      <c r="H676" s="128"/>
      <c r="I676" s="128"/>
      <c r="J676" s="55"/>
      <c r="K676" s="55"/>
    </row>
    <row r="677" spans="1:11" ht="18.75">
      <c r="A677" s="33"/>
      <c r="B677" s="64" t="s">
        <v>925</v>
      </c>
      <c r="C677" s="101" t="s">
        <v>926</v>
      </c>
      <c r="D677" s="22" t="s">
        <v>0</v>
      </c>
      <c r="E677" s="167">
        <v>2</v>
      </c>
      <c r="F677" s="24">
        <v>24.58</v>
      </c>
      <c r="G677" s="128">
        <f t="shared" si="34"/>
        <v>49.16</v>
      </c>
      <c r="H677" s="128"/>
      <c r="I677" s="128"/>
      <c r="J677" s="55"/>
      <c r="K677" s="55"/>
    </row>
    <row r="678" spans="1:11" ht="36">
      <c r="A678" s="33"/>
      <c r="B678" s="64" t="s">
        <v>40</v>
      </c>
      <c r="C678" s="101" t="s">
        <v>41</v>
      </c>
      <c r="D678" s="22" t="s">
        <v>7</v>
      </c>
      <c r="E678" s="167">
        <v>2.06</v>
      </c>
      <c r="F678" s="24">
        <f>TRUNC(13.08,2)</f>
        <v>13.08</v>
      </c>
      <c r="G678" s="128">
        <f t="shared" si="34"/>
        <v>26.94</v>
      </c>
      <c r="H678" s="128"/>
      <c r="I678" s="128"/>
      <c r="J678" s="55"/>
      <c r="K678" s="55"/>
    </row>
    <row r="679" spans="1:11" ht="36">
      <c r="A679" s="33"/>
      <c r="B679" s="64" t="s">
        <v>74</v>
      </c>
      <c r="C679" s="101" t="s">
        <v>315</v>
      </c>
      <c r="D679" s="22" t="s">
        <v>7</v>
      </c>
      <c r="E679" s="167">
        <v>2.06</v>
      </c>
      <c r="F679" s="24">
        <f>TRUNC(18.05,2)</f>
        <v>18.05</v>
      </c>
      <c r="G679" s="128">
        <f t="shared" si="34"/>
        <v>37.18</v>
      </c>
      <c r="H679" s="128"/>
      <c r="I679" s="128"/>
      <c r="J679" s="55"/>
      <c r="K679" s="55"/>
    </row>
    <row r="680" spans="1:11" ht="18.75">
      <c r="A680" s="33"/>
      <c r="B680" s="64"/>
      <c r="C680" s="101"/>
      <c r="D680" s="22"/>
      <c r="E680" s="167" t="s">
        <v>5</v>
      </c>
      <c r="F680" s="24"/>
      <c r="G680" s="128">
        <f>TRUNC(SUM(G673:G679),2)</f>
        <v>133.72</v>
      </c>
      <c r="H680" s="128"/>
      <c r="I680" s="128"/>
      <c r="J680" s="55"/>
      <c r="K680" s="55"/>
    </row>
    <row r="681" spans="1:12" ht="18.75">
      <c r="A681" s="29"/>
      <c r="B681" s="113" t="s">
        <v>800</v>
      </c>
      <c r="C681" s="94"/>
      <c r="D681" s="30"/>
      <c r="E681" s="171"/>
      <c r="F681" s="115"/>
      <c r="G681" s="116"/>
      <c r="H681" s="128"/>
      <c r="I681" s="128"/>
      <c r="K681" s="55"/>
      <c r="L681" s="70"/>
    </row>
    <row r="682" spans="1:12" ht="18.75">
      <c r="A682" s="29"/>
      <c r="B682" s="113" t="s">
        <v>803</v>
      </c>
      <c r="C682" s="94" t="s">
        <v>802</v>
      </c>
      <c r="D682" s="30" t="s">
        <v>0</v>
      </c>
      <c r="E682" s="171">
        <v>20.57</v>
      </c>
      <c r="F682" s="115"/>
      <c r="G682" s="116"/>
      <c r="H682" s="128"/>
      <c r="I682" s="128"/>
      <c r="K682" s="55"/>
      <c r="L682" s="70"/>
    </row>
    <row r="683" spans="1:12" ht="18.75">
      <c r="A683" s="29"/>
      <c r="B683" s="113" t="s">
        <v>804</v>
      </c>
      <c r="C683" s="94" t="s">
        <v>802</v>
      </c>
      <c r="D683" s="30" t="s">
        <v>0</v>
      </c>
      <c r="E683" s="171">
        <f>26.9+10</f>
        <v>36.9</v>
      </c>
      <c r="F683" s="115"/>
      <c r="G683" s="116"/>
      <c r="H683" s="128"/>
      <c r="I683" s="128"/>
      <c r="K683" s="55"/>
      <c r="L683" s="70"/>
    </row>
    <row r="684" spans="1:12" ht="18.75">
      <c r="A684" s="29"/>
      <c r="B684" s="113" t="s">
        <v>805</v>
      </c>
      <c r="C684" s="94" t="s">
        <v>802</v>
      </c>
      <c r="D684" s="30" t="s">
        <v>0</v>
      </c>
      <c r="E684" s="171">
        <f>19.47+5.11</f>
        <v>24.58</v>
      </c>
      <c r="F684" s="115"/>
      <c r="G684" s="116"/>
      <c r="H684" s="128"/>
      <c r="I684" s="128"/>
      <c r="K684" s="55"/>
      <c r="L684" s="70"/>
    </row>
    <row r="685" spans="1:12" ht="18.75">
      <c r="A685" s="29"/>
      <c r="B685" s="113"/>
      <c r="C685" s="125" t="s">
        <v>288</v>
      </c>
      <c r="D685" s="28" t="s">
        <v>0</v>
      </c>
      <c r="E685" s="168">
        <f>MEDIAN(E682,E683,E684)</f>
        <v>24.58</v>
      </c>
      <c r="F685" s="115"/>
      <c r="G685" s="116"/>
      <c r="H685" s="128"/>
      <c r="I685" s="128"/>
      <c r="K685" s="55"/>
      <c r="L685" s="70"/>
    </row>
    <row r="686" spans="1:12" ht="18.75">
      <c r="A686" s="33"/>
      <c r="B686" s="64"/>
      <c r="C686" s="103"/>
      <c r="D686" s="22"/>
      <c r="E686" s="167"/>
      <c r="F686" s="24"/>
      <c r="G686" s="128"/>
      <c r="H686" s="240"/>
      <c r="I686" s="128"/>
      <c r="K686" s="55"/>
      <c r="L686" s="70"/>
    </row>
    <row r="687" spans="1:11" s="234" customFormat="1" ht="54">
      <c r="A687" s="218" t="s">
        <v>779</v>
      </c>
      <c r="B687" s="269" t="s">
        <v>934</v>
      </c>
      <c r="C687" s="270" t="s">
        <v>828</v>
      </c>
      <c r="D687" s="187" t="s">
        <v>0</v>
      </c>
      <c r="E687" s="220">
        <v>4</v>
      </c>
      <c r="F687" s="188">
        <f>TRUNC(F688,2)</f>
        <v>81.15</v>
      </c>
      <c r="G687" s="244">
        <f>TRUNC(F687*1.2882,2)</f>
        <v>104.53</v>
      </c>
      <c r="H687" s="244">
        <f>TRUNC(F687*E687,2)</f>
        <v>324.6</v>
      </c>
      <c r="I687" s="244">
        <f>TRUNC(E687*G687,2)</f>
        <v>418.12</v>
      </c>
      <c r="J687" s="203"/>
      <c r="K687" s="203"/>
    </row>
    <row r="688" spans="1:11" ht="72">
      <c r="A688" s="33"/>
      <c r="B688" s="64" t="s">
        <v>827</v>
      </c>
      <c r="C688" s="104" t="s">
        <v>928</v>
      </c>
      <c r="D688" s="22" t="s">
        <v>0</v>
      </c>
      <c r="E688" s="167">
        <v>1</v>
      </c>
      <c r="F688" s="24">
        <f>TRUNC(G696,2)</f>
        <v>81.15</v>
      </c>
      <c r="G688" s="128">
        <f aca="true" t="shared" si="35" ref="G688:G693">TRUNC(E688*F688,2)</f>
        <v>81.15</v>
      </c>
      <c r="H688" s="128"/>
      <c r="I688" s="128"/>
      <c r="J688" s="55"/>
      <c r="K688" s="55"/>
    </row>
    <row r="689" spans="1:11" ht="36">
      <c r="A689" s="33"/>
      <c r="B689" s="64" t="s">
        <v>929</v>
      </c>
      <c r="C689" s="104" t="s">
        <v>930</v>
      </c>
      <c r="D689" s="22" t="s">
        <v>0</v>
      </c>
      <c r="E689" s="167">
        <v>1</v>
      </c>
      <c r="F689" s="24">
        <v>5.34</v>
      </c>
      <c r="G689" s="128">
        <f t="shared" si="35"/>
        <v>5.34</v>
      </c>
      <c r="H689" s="128"/>
      <c r="I689" s="128"/>
      <c r="J689" s="55"/>
      <c r="K689" s="55"/>
    </row>
    <row r="690" spans="1:11" ht="18.75">
      <c r="A690" s="33"/>
      <c r="B690" s="64" t="s">
        <v>825</v>
      </c>
      <c r="C690" s="104" t="s">
        <v>923</v>
      </c>
      <c r="D690" s="22" t="s">
        <v>0</v>
      </c>
      <c r="E690" s="167">
        <v>1</v>
      </c>
      <c r="F690" s="24">
        <f>TRUNC(2.95,2)</f>
        <v>2.95</v>
      </c>
      <c r="G690" s="128">
        <f t="shared" si="35"/>
        <v>2.95</v>
      </c>
      <c r="H690" s="128"/>
      <c r="I690" s="128"/>
      <c r="J690" s="55"/>
      <c r="K690" s="55"/>
    </row>
    <row r="691" spans="1:11" ht="36">
      <c r="A691" s="33"/>
      <c r="B691" s="64" t="s">
        <v>763</v>
      </c>
      <c r="C691" s="104" t="s">
        <v>931</v>
      </c>
      <c r="D691" s="22" t="s">
        <v>0</v>
      </c>
      <c r="E691" s="167">
        <v>0</v>
      </c>
      <c r="F691" s="24">
        <f>TRUNC(13.94,2)</f>
        <v>13.94</v>
      </c>
      <c r="G691" s="128">
        <f t="shared" si="35"/>
        <v>0</v>
      </c>
      <c r="H691" s="128"/>
      <c r="I691" s="128"/>
      <c r="J691" s="55"/>
      <c r="K691" s="55"/>
    </row>
    <row r="692" spans="1:11" ht="18.75">
      <c r="A692" s="33"/>
      <c r="B692" s="64" t="s">
        <v>255</v>
      </c>
      <c r="C692" s="104" t="s">
        <v>1007</v>
      </c>
      <c r="D692" s="22" t="s">
        <v>0</v>
      </c>
      <c r="E692" s="167">
        <v>2</v>
      </c>
      <c r="F692" s="24">
        <f>TRUNC(1.7,2)</f>
        <v>1.7</v>
      </c>
      <c r="G692" s="128">
        <f t="shared" si="35"/>
        <v>3.4</v>
      </c>
      <c r="H692" s="128"/>
      <c r="I692" s="128"/>
      <c r="J692" s="55"/>
      <c r="K692" s="55"/>
    </row>
    <row r="693" spans="1:11" ht="18.75">
      <c r="A693" s="33"/>
      <c r="B693" s="64" t="s">
        <v>932</v>
      </c>
      <c r="C693" s="104" t="s">
        <v>933</v>
      </c>
      <c r="D693" s="22" t="s">
        <v>0</v>
      </c>
      <c r="E693" s="167">
        <v>1</v>
      </c>
      <c r="F693" s="61">
        <v>24.58</v>
      </c>
      <c r="G693" s="128">
        <f t="shared" si="35"/>
        <v>24.58</v>
      </c>
      <c r="H693" s="128"/>
      <c r="I693" s="128"/>
      <c r="J693" s="55"/>
      <c r="K693" s="55"/>
    </row>
    <row r="694" spans="1:11" ht="36">
      <c r="A694" s="33"/>
      <c r="B694" s="64" t="s">
        <v>40</v>
      </c>
      <c r="C694" s="104" t="s">
        <v>41</v>
      </c>
      <c r="D694" s="22" t="s">
        <v>7</v>
      </c>
      <c r="E694" s="167">
        <v>1.44</v>
      </c>
      <c r="F694" s="24">
        <f>TRUNC(13.08,2)</f>
        <v>13.08</v>
      </c>
      <c r="G694" s="128">
        <v>18.86</v>
      </c>
      <c r="H694" s="128"/>
      <c r="I694" s="128"/>
      <c r="J694" s="55"/>
      <c r="K694" s="55"/>
    </row>
    <row r="695" spans="1:11" ht="36">
      <c r="A695" s="33"/>
      <c r="B695" s="64" t="s">
        <v>74</v>
      </c>
      <c r="C695" s="104" t="s">
        <v>315</v>
      </c>
      <c r="D695" s="22" t="s">
        <v>7</v>
      </c>
      <c r="E695" s="167">
        <v>1.44</v>
      </c>
      <c r="F695" s="24">
        <v>18.05</v>
      </c>
      <c r="G695" s="128">
        <v>26.02</v>
      </c>
      <c r="H695" s="128"/>
      <c r="I695" s="128"/>
      <c r="J695" s="55"/>
      <c r="K695" s="55"/>
    </row>
    <row r="696" spans="1:11" ht="18.75">
      <c r="A696" s="33"/>
      <c r="B696" s="64"/>
      <c r="C696" s="104"/>
      <c r="D696" s="22"/>
      <c r="E696" s="167" t="s">
        <v>5</v>
      </c>
      <c r="F696" s="24"/>
      <c r="G696" s="128">
        <f>TRUNC(SUM(G689:G695),2)</f>
        <v>81.15</v>
      </c>
      <c r="H696" s="128"/>
      <c r="I696" s="128"/>
      <c r="J696" s="55"/>
      <c r="K696" s="55"/>
    </row>
    <row r="697" spans="1:12" ht="18.75">
      <c r="A697" s="29"/>
      <c r="B697" s="113" t="s">
        <v>800</v>
      </c>
      <c r="C697" s="94"/>
      <c r="D697" s="30"/>
      <c r="E697" s="171"/>
      <c r="F697" s="115"/>
      <c r="G697" s="116"/>
      <c r="H697" s="128"/>
      <c r="I697" s="128"/>
      <c r="K697" s="55"/>
      <c r="L697" s="70"/>
    </row>
    <row r="698" spans="1:12" ht="18.75">
      <c r="A698" s="29"/>
      <c r="B698" s="113" t="s">
        <v>803</v>
      </c>
      <c r="C698" s="94" t="s">
        <v>802</v>
      </c>
      <c r="D698" s="30" t="s">
        <v>0</v>
      </c>
      <c r="E698" s="171">
        <v>20.57</v>
      </c>
      <c r="F698" s="115"/>
      <c r="G698" s="116"/>
      <c r="H698" s="128"/>
      <c r="I698" s="128"/>
      <c r="K698" s="55"/>
      <c r="L698" s="70"/>
    </row>
    <row r="699" spans="1:12" ht="18.75">
      <c r="A699" s="29"/>
      <c r="B699" s="113" t="s">
        <v>804</v>
      </c>
      <c r="C699" s="94" t="s">
        <v>802</v>
      </c>
      <c r="D699" s="30" t="s">
        <v>0</v>
      </c>
      <c r="E699" s="171">
        <f>26.9+10</f>
        <v>36.9</v>
      </c>
      <c r="F699" s="115"/>
      <c r="G699" s="116"/>
      <c r="H699" s="128"/>
      <c r="I699" s="128"/>
      <c r="K699" s="55"/>
      <c r="L699" s="70"/>
    </row>
    <row r="700" spans="1:12" ht="18.75">
      <c r="A700" s="29"/>
      <c r="B700" s="113" t="s">
        <v>805</v>
      </c>
      <c r="C700" s="94" t="s">
        <v>802</v>
      </c>
      <c r="D700" s="30" t="s">
        <v>0</v>
      </c>
      <c r="E700" s="171">
        <f>19.47+5.11</f>
        <v>24.58</v>
      </c>
      <c r="F700" s="115"/>
      <c r="G700" s="116"/>
      <c r="H700" s="128"/>
      <c r="I700" s="128"/>
      <c r="K700" s="55"/>
      <c r="L700" s="70"/>
    </row>
    <row r="701" spans="1:12" ht="18.75">
      <c r="A701" s="29"/>
      <c r="B701" s="113"/>
      <c r="C701" s="125" t="s">
        <v>288</v>
      </c>
      <c r="D701" s="28" t="s">
        <v>0</v>
      </c>
      <c r="E701" s="168">
        <f>MEDIAN(E698,E699,E700)</f>
        <v>24.58</v>
      </c>
      <c r="F701" s="115"/>
      <c r="G701" s="116"/>
      <c r="H701" s="128"/>
      <c r="I701" s="128"/>
      <c r="K701" s="55"/>
      <c r="L701" s="70"/>
    </row>
    <row r="702" spans="1:12" ht="18.75">
      <c r="A702" s="33"/>
      <c r="B702" s="64"/>
      <c r="C702" s="103"/>
      <c r="D702" s="22"/>
      <c r="E702" s="167"/>
      <c r="F702" s="24"/>
      <c r="G702" s="128"/>
      <c r="H702" s="128"/>
      <c r="I702" s="128"/>
      <c r="K702" s="55"/>
      <c r="L702" s="70"/>
    </row>
    <row r="703" spans="1:10" ht="18.75">
      <c r="A703" s="29" t="s">
        <v>130</v>
      </c>
      <c r="B703" s="293"/>
      <c r="C703" s="294"/>
      <c r="D703" s="295"/>
      <c r="E703" s="298" t="s">
        <v>119</v>
      </c>
      <c r="F703" s="299"/>
      <c r="G703" s="300"/>
      <c r="H703" s="38">
        <f>H555+H570+H585+H600+H615+H629+H643+H657+H671+H687</f>
        <v>7253.72</v>
      </c>
      <c r="I703" s="38">
        <f>I555+I570+I585+I600+I615+I629+I643+I657+I671+I687</f>
        <v>9344.02</v>
      </c>
      <c r="J703" s="55"/>
    </row>
    <row r="704" spans="1:11" s="152" customFormat="1" ht="18.75">
      <c r="A704" s="273" t="s">
        <v>120</v>
      </c>
      <c r="B704" s="282"/>
      <c r="C704" s="283" t="s">
        <v>310</v>
      </c>
      <c r="D704" s="276"/>
      <c r="E704" s="277"/>
      <c r="F704" s="279"/>
      <c r="G704" s="278"/>
      <c r="H704" s="278"/>
      <c r="I704" s="272"/>
      <c r="J704" s="281"/>
      <c r="K704" s="151"/>
    </row>
    <row r="705" spans="1:11" s="234" customFormat="1" ht="54.75" thickBot="1">
      <c r="A705" s="228" t="s">
        <v>121</v>
      </c>
      <c r="B705" s="229" t="s">
        <v>470</v>
      </c>
      <c r="C705" s="230" t="s">
        <v>471</v>
      </c>
      <c r="D705" s="231" t="s">
        <v>468</v>
      </c>
      <c r="E705" s="232">
        <v>20.64</v>
      </c>
      <c r="F705" s="233">
        <f>TRUNC(F706,2)</f>
        <v>26.61</v>
      </c>
      <c r="G705" s="244">
        <f>TRUNC(F705*1.2882,2)</f>
        <v>34.27</v>
      </c>
      <c r="H705" s="244">
        <f>TRUNC(F705*E705,2)</f>
        <v>549.23</v>
      </c>
      <c r="I705" s="244">
        <f>TRUNC(E705*G705,2)</f>
        <v>707.33</v>
      </c>
      <c r="J705" s="203"/>
      <c r="K705" s="203"/>
    </row>
    <row r="706" spans="1:9" ht="54">
      <c r="A706" s="31"/>
      <c r="B706" s="98" t="s">
        <v>470</v>
      </c>
      <c r="C706" s="105" t="s">
        <v>935</v>
      </c>
      <c r="D706" s="18" t="s">
        <v>44</v>
      </c>
      <c r="E706" s="169">
        <v>1</v>
      </c>
      <c r="F706" s="19">
        <f>TRUNC(G712,2)</f>
        <v>26.61</v>
      </c>
      <c r="G706" s="239">
        <f aca="true" t="shared" si="36" ref="G706:G711">TRUNC(E706*F706,2)</f>
        <v>26.61</v>
      </c>
      <c r="H706" s="128"/>
      <c r="I706" s="128"/>
    </row>
    <row r="707" spans="1:9" ht="18.75">
      <c r="A707" s="33"/>
      <c r="B707" s="100" t="s">
        <v>472</v>
      </c>
      <c r="C707" s="101" t="s">
        <v>473</v>
      </c>
      <c r="D707" s="22" t="s">
        <v>52</v>
      </c>
      <c r="E707" s="167">
        <v>0.175</v>
      </c>
      <c r="F707" s="24">
        <f>TRUNC(12,2)</f>
        <v>12</v>
      </c>
      <c r="G707" s="128">
        <f t="shared" si="36"/>
        <v>2.1</v>
      </c>
      <c r="H707" s="128"/>
      <c r="I707" s="128"/>
    </row>
    <row r="708" spans="1:9" ht="18.75">
      <c r="A708" s="33"/>
      <c r="B708" s="100" t="s">
        <v>474</v>
      </c>
      <c r="C708" s="101" t="s">
        <v>475</v>
      </c>
      <c r="D708" s="22" t="s">
        <v>52</v>
      </c>
      <c r="E708" s="167">
        <v>0.75</v>
      </c>
      <c r="F708" s="24">
        <f>TRUNC(21.983,2)</f>
        <v>21.98</v>
      </c>
      <c r="G708" s="128">
        <f t="shared" si="36"/>
        <v>16.48</v>
      </c>
      <c r="H708" s="128"/>
      <c r="I708" s="128"/>
    </row>
    <row r="709" spans="1:9" ht="36">
      <c r="A709" s="33"/>
      <c r="B709" s="100" t="s">
        <v>54</v>
      </c>
      <c r="C709" s="101" t="s">
        <v>102</v>
      </c>
      <c r="D709" s="22" t="s">
        <v>46</v>
      </c>
      <c r="E709" s="167">
        <v>0.004</v>
      </c>
      <c r="F709" s="24">
        <f>TRUNC(8.55,2)</f>
        <v>8.55</v>
      </c>
      <c r="G709" s="128">
        <f t="shared" si="36"/>
        <v>0.03</v>
      </c>
      <c r="H709" s="128"/>
      <c r="I709" s="128"/>
    </row>
    <row r="710" spans="1:9" ht="36">
      <c r="A710" s="33"/>
      <c r="B710" s="100" t="s">
        <v>40</v>
      </c>
      <c r="C710" s="101" t="s">
        <v>41</v>
      </c>
      <c r="D710" s="22" t="s">
        <v>7</v>
      </c>
      <c r="E710" s="167">
        <v>0.2575</v>
      </c>
      <c r="F710" s="24">
        <f>TRUNC(13.08,2)</f>
        <v>13.08</v>
      </c>
      <c r="G710" s="128">
        <f t="shared" si="36"/>
        <v>3.36</v>
      </c>
      <c r="H710" s="128"/>
      <c r="I710" s="128"/>
    </row>
    <row r="711" spans="1:9" ht="36">
      <c r="A711" s="33"/>
      <c r="B711" s="100" t="s">
        <v>84</v>
      </c>
      <c r="C711" s="101" t="s">
        <v>267</v>
      </c>
      <c r="D711" s="22" t="s">
        <v>7</v>
      </c>
      <c r="E711" s="167">
        <v>0.2575</v>
      </c>
      <c r="F711" s="24">
        <f>TRUNC(18.05,2)</f>
        <v>18.05</v>
      </c>
      <c r="G711" s="128">
        <f t="shared" si="36"/>
        <v>4.64</v>
      </c>
      <c r="H711" s="128"/>
      <c r="I711" s="128"/>
    </row>
    <row r="712" spans="1:9" ht="18.75">
      <c r="A712" s="33"/>
      <c r="B712" s="100"/>
      <c r="C712" s="101"/>
      <c r="D712" s="22"/>
      <c r="E712" s="167" t="s">
        <v>5</v>
      </c>
      <c r="F712" s="24"/>
      <c r="G712" s="128">
        <f>TRUNC(SUM(G707:G711),2)</f>
        <v>26.61</v>
      </c>
      <c r="H712" s="128"/>
      <c r="I712" s="128"/>
    </row>
    <row r="713" spans="1:11" s="234" customFormat="1" ht="54">
      <c r="A713" s="218" t="s">
        <v>122</v>
      </c>
      <c r="B713" s="269" t="s">
        <v>603</v>
      </c>
      <c r="C713" s="270" t="s">
        <v>604</v>
      </c>
      <c r="D713" s="187" t="s">
        <v>468</v>
      </c>
      <c r="E713" s="220">
        <v>20.64</v>
      </c>
      <c r="F713" s="188">
        <f>TRUNC(F714,2)</f>
        <v>32.09</v>
      </c>
      <c r="G713" s="244">
        <f>TRUNC(F713*1.2882,2)</f>
        <v>41.33</v>
      </c>
      <c r="H713" s="244">
        <f>TRUNC(F713*E713,2)</f>
        <v>662.33</v>
      </c>
      <c r="I713" s="244">
        <f>TRUNC(E713*G713,2)</f>
        <v>853.05</v>
      </c>
      <c r="J713" s="203"/>
      <c r="K713" s="203"/>
    </row>
    <row r="714" spans="1:9" ht="54">
      <c r="A714" s="31"/>
      <c r="B714" s="98" t="s">
        <v>603</v>
      </c>
      <c r="C714" s="99" t="s">
        <v>936</v>
      </c>
      <c r="D714" s="18" t="s">
        <v>44</v>
      </c>
      <c r="E714" s="169">
        <v>1</v>
      </c>
      <c r="F714" s="19">
        <f>TRUNC(G721,2)</f>
        <v>32.09</v>
      </c>
      <c r="G714" s="239">
        <f aca="true" t="shared" si="37" ref="G714:G720">TRUNC(E714*F714,2)</f>
        <v>32.09</v>
      </c>
      <c r="H714" s="128"/>
      <c r="I714" s="128"/>
    </row>
    <row r="715" spans="1:9" ht="36">
      <c r="A715" s="33"/>
      <c r="B715" s="100" t="s">
        <v>605</v>
      </c>
      <c r="C715" s="101" t="s">
        <v>606</v>
      </c>
      <c r="D715" s="22" t="s">
        <v>0</v>
      </c>
      <c r="E715" s="167">
        <v>0.44</v>
      </c>
      <c r="F715" s="24">
        <f>TRUNC(44.68,2)</f>
        <v>44.68</v>
      </c>
      <c r="G715" s="128">
        <f t="shared" si="37"/>
        <v>19.65</v>
      </c>
      <c r="H715" s="128"/>
      <c r="I715" s="128"/>
    </row>
    <row r="716" spans="1:9" ht="36">
      <c r="A716" s="33"/>
      <c r="B716" s="100" t="s">
        <v>607</v>
      </c>
      <c r="C716" s="101" t="s">
        <v>608</v>
      </c>
      <c r="D716" s="22" t="s">
        <v>0</v>
      </c>
      <c r="E716" s="167">
        <v>1.5</v>
      </c>
      <c r="F716" s="24">
        <f>TRUNC(0.27,2)</f>
        <v>0.27</v>
      </c>
      <c r="G716" s="128">
        <f t="shared" si="37"/>
        <v>0.4</v>
      </c>
      <c r="H716" s="128"/>
      <c r="I716" s="128"/>
    </row>
    <row r="717" spans="1:9" ht="18.75">
      <c r="A717" s="33"/>
      <c r="B717" s="100" t="s">
        <v>609</v>
      </c>
      <c r="C717" s="101" t="s">
        <v>610</v>
      </c>
      <c r="D717" s="22" t="s">
        <v>46</v>
      </c>
      <c r="E717" s="167">
        <v>0.015</v>
      </c>
      <c r="F717" s="24">
        <f>TRUNC(12.61,2)</f>
        <v>12.61</v>
      </c>
      <c r="G717" s="128">
        <f t="shared" si="37"/>
        <v>0.18</v>
      </c>
      <c r="H717" s="128"/>
      <c r="I717" s="128"/>
    </row>
    <row r="718" spans="1:9" ht="18.75">
      <c r="A718" s="33"/>
      <c r="B718" s="100" t="s">
        <v>611</v>
      </c>
      <c r="C718" s="101" t="s">
        <v>612</v>
      </c>
      <c r="D718" s="22" t="s">
        <v>0</v>
      </c>
      <c r="E718" s="167">
        <v>1.5</v>
      </c>
      <c r="F718" s="24">
        <f>TRUNC(1.5,2)</f>
        <v>1.5</v>
      </c>
      <c r="G718" s="128">
        <f t="shared" si="37"/>
        <v>2.25</v>
      </c>
      <c r="H718" s="128"/>
      <c r="I718" s="128"/>
    </row>
    <row r="719" spans="1:9" ht="36">
      <c r="A719" s="33"/>
      <c r="B719" s="100" t="s">
        <v>40</v>
      </c>
      <c r="C719" s="101" t="s">
        <v>41</v>
      </c>
      <c r="D719" s="22" t="s">
        <v>7</v>
      </c>
      <c r="E719" s="167">
        <v>0.309</v>
      </c>
      <c r="F719" s="24">
        <f>TRUNC(13.08,2)</f>
        <v>13.08</v>
      </c>
      <c r="G719" s="128">
        <f t="shared" si="37"/>
        <v>4.04</v>
      </c>
      <c r="H719" s="128"/>
      <c r="I719" s="128"/>
    </row>
    <row r="720" spans="1:9" ht="36">
      <c r="A720" s="33"/>
      <c r="B720" s="100" t="s">
        <v>84</v>
      </c>
      <c r="C720" s="101" t="s">
        <v>267</v>
      </c>
      <c r="D720" s="22" t="s">
        <v>7</v>
      </c>
      <c r="E720" s="167">
        <v>0.309</v>
      </c>
      <c r="F720" s="24">
        <f>TRUNC(18.05,2)</f>
        <v>18.05</v>
      </c>
      <c r="G720" s="128">
        <f t="shared" si="37"/>
        <v>5.57</v>
      </c>
      <c r="H720" s="128"/>
      <c r="I720" s="128"/>
    </row>
    <row r="721" spans="1:9" ht="18.75">
      <c r="A721" s="33"/>
      <c r="B721" s="100"/>
      <c r="C721" s="101"/>
      <c r="D721" s="22"/>
      <c r="E721" s="167" t="s">
        <v>5</v>
      </c>
      <c r="F721" s="24"/>
      <c r="G721" s="128">
        <f>TRUNC(SUM(G715:G720),2)</f>
        <v>32.09</v>
      </c>
      <c r="H721" s="128"/>
      <c r="I721" s="128"/>
    </row>
    <row r="722" spans="1:11" s="150" customFormat="1" ht="36">
      <c r="A722" s="211" t="s">
        <v>124</v>
      </c>
      <c r="B722" s="235" t="s">
        <v>789</v>
      </c>
      <c r="C722" s="155" t="s">
        <v>788</v>
      </c>
      <c r="D722" s="156" t="s">
        <v>52</v>
      </c>
      <c r="E722" s="214">
        <v>41.85</v>
      </c>
      <c r="F722" s="157">
        <f>TRUNC(G723,2)</f>
        <v>44.81</v>
      </c>
      <c r="G722" s="244">
        <f>TRUNC(F722*1.2882,2)</f>
        <v>57.72</v>
      </c>
      <c r="H722" s="244">
        <f>TRUNC(F722*E722,2)</f>
        <v>1875.29</v>
      </c>
      <c r="I722" s="244">
        <f>TRUNC(E722*G722,2)</f>
        <v>2415.58</v>
      </c>
      <c r="J722" s="149"/>
      <c r="K722" s="149"/>
    </row>
    <row r="723" spans="1:9" ht="36">
      <c r="A723" s="33"/>
      <c r="B723" s="64" t="s">
        <v>1008</v>
      </c>
      <c r="C723" s="104" t="s">
        <v>1009</v>
      </c>
      <c r="D723" s="22" t="s">
        <v>52</v>
      </c>
      <c r="E723" s="167">
        <v>1.32</v>
      </c>
      <c r="F723" s="24">
        <f>TRUNC(G733,2)</f>
        <v>33.95</v>
      </c>
      <c r="G723" s="241">
        <f aca="true" t="shared" si="38" ref="G723:G732">TRUNC(E723*F723,2)</f>
        <v>44.81</v>
      </c>
      <c r="H723" s="145"/>
      <c r="I723" s="145"/>
    </row>
    <row r="724" spans="1:9" ht="36">
      <c r="A724" s="33"/>
      <c r="B724" s="64" t="s">
        <v>1010</v>
      </c>
      <c r="C724" s="104" t="s">
        <v>781</v>
      </c>
      <c r="D724" s="22" t="s">
        <v>52</v>
      </c>
      <c r="E724" s="167">
        <v>1.05</v>
      </c>
      <c r="F724" s="24">
        <f>TRUNC(17.68,2)</f>
        <v>17.68</v>
      </c>
      <c r="G724" s="145">
        <f t="shared" si="38"/>
        <v>18.56</v>
      </c>
      <c r="H724" s="145"/>
      <c r="I724" s="145"/>
    </row>
    <row r="725" spans="1:9" ht="18.75">
      <c r="A725" s="33"/>
      <c r="B725" s="64" t="s">
        <v>1011</v>
      </c>
      <c r="C725" s="104" t="s">
        <v>782</v>
      </c>
      <c r="D725" s="22" t="s">
        <v>46</v>
      </c>
      <c r="E725" s="167">
        <v>0.045</v>
      </c>
      <c r="F725" s="24">
        <f>TRUNC(145.99,2)</f>
        <v>145.99</v>
      </c>
      <c r="G725" s="145">
        <f t="shared" si="38"/>
        <v>6.56</v>
      </c>
      <c r="H725" s="145"/>
      <c r="I725" s="145"/>
    </row>
    <row r="726" spans="1:9" ht="18.75">
      <c r="A726" s="33"/>
      <c r="B726" s="64" t="s">
        <v>1012</v>
      </c>
      <c r="C726" s="104" t="s">
        <v>783</v>
      </c>
      <c r="D726" s="22" t="s">
        <v>46</v>
      </c>
      <c r="E726" s="167">
        <v>0.0012</v>
      </c>
      <c r="F726" s="24">
        <f>TRUNC(40.56,2)</f>
        <v>40.56</v>
      </c>
      <c r="G726" s="145">
        <f t="shared" si="38"/>
        <v>0.04</v>
      </c>
      <c r="H726" s="145"/>
      <c r="I726" s="145"/>
    </row>
    <row r="727" spans="1:9" ht="18.75">
      <c r="A727" s="33"/>
      <c r="B727" s="64" t="s">
        <v>1013</v>
      </c>
      <c r="C727" s="104" t="s">
        <v>784</v>
      </c>
      <c r="D727" s="22" t="s">
        <v>46</v>
      </c>
      <c r="E727" s="167">
        <v>0.006</v>
      </c>
      <c r="F727" s="24">
        <f>TRUNC(10.9,2)</f>
        <v>10.9</v>
      </c>
      <c r="G727" s="145">
        <f t="shared" si="38"/>
        <v>0.06</v>
      </c>
      <c r="H727" s="145"/>
      <c r="I727" s="145"/>
    </row>
    <row r="728" spans="1:9" ht="18.75">
      <c r="A728" s="33"/>
      <c r="B728" s="64" t="s">
        <v>1014</v>
      </c>
      <c r="C728" s="104" t="s">
        <v>785</v>
      </c>
      <c r="D728" s="22" t="s">
        <v>786</v>
      </c>
      <c r="E728" s="167">
        <v>0.04</v>
      </c>
      <c r="F728" s="24">
        <f>TRUNC(32.48,2)</f>
        <v>32.48</v>
      </c>
      <c r="G728" s="145">
        <f t="shared" si="38"/>
        <v>1.29</v>
      </c>
      <c r="H728" s="145"/>
      <c r="I728" s="145"/>
    </row>
    <row r="729" spans="1:9" ht="18.75">
      <c r="A729" s="33"/>
      <c r="B729" s="64" t="s">
        <v>1015</v>
      </c>
      <c r="C729" s="104" t="s">
        <v>787</v>
      </c>
      <c r="D729" s="22" t="s">
        <v>7</v>
      </c>
      <c r="E729" s="167">
        <v>0.112</v>
      </c>
      <c r="F729" s="24">
        <f>TRUNC(22.62,2)</f>
        <v>22.62</v>
      </c>
      <c r="G729" s="145">
        <f t="shared" si="38"/>
        <v>2.53</v>
      </c>
      <c r="H729" s="145"/>
      <c r="I729" s="145"/>
    </row>
    <row r="730" spans="1:9" ht="18.75">
      <c r="A730" s="33"/>
      <c r="B730" s="64" t="s">
        <v>964</v>
      </c>
      <c r="C730" s="104" t="s">
        <v>286</v>
      </c>
      <c r="D730" s="22" t="s">
        <v>7</v>
      </c>
      <c r="E730" s="167">
        <v>0.207</v>
      </c>
      <c r="F730" s="24">
        <f>TRUNC(19.85,2)</f>
        <v>19.85</v>
      </c>
      <c r="G730" s="145">
        <f t="shared" si="38"/>
        <v>4.1</v>
      </c>
      <c r="H730" s="145"/>
      <c r="I730" s="145"/>
    </row>
    <row r="731" spans="1:9" ht="36">
      <c r="A731" s="33"/>
      <c r="B731" s="64" t="s">
        <v>1016</v>
      </c>
      <c r="C731" s="104" t="s">
        <v>1017</v>
      </c>
      <c r="D731" s="22" t="s">
        <v>158</v>
      </c>
      <c r="E731" s="167">
        <v>0.0183</v>
      </c>
      <c r="F731" s="24">
        <f>TRUNC(25.77,2)</f>
        <v>25.77</v>
      </c>
      <c r="G731" s="145">
        <f t="shared" si="38"/>
        <v>0.47</v>
      </c>
      <c r="H731" s="145"/>
      <c r="I731" s="145"/>
    </row>
    <row r="732" spans="1:9" ht="36">
      <c r="A732" s="33"/>
      <c r="B732" s="64" t="s">
        <v>1018</v>
      </c>
      <c r="C732" s="104" t="s">
        <v>1019</v>
      </c>
      <c r="D732" s="22" t="s">
        <v>134</v>
      </c>
      <c r="E732" s="167">
        <v>0.0132</v>
      </c>
      <c r="F732" s="24">
        <f>TRUNC(26.46,2)</f>
        <v>26.46</v>
      </c>
      <c r="G732" s="145">
        <f t="shared" si="38"/>
        <v>0.34</v>
      </c>
      <c r="H732" s="145"/>
      <c r="I732" s="145"/>
    </row>
    <row r="733" spans="1:9" ht="18.75">
      <c r="A733" s="33"/>
      <c r="B733" s="64"/>
      <c r="C733" s="104"/>
      <c r="D733" s="22"/>
      <c r="E733" s="167" t="s">
        <v>5</v>
      </c>
      <c r="F733" s="24"/>
      <c r="G733" s="145">
        <f>TRUNC(SUM(G724:G732),2)</f>
        <v>33.95</v>
      </c>
      <c r="H733" s="145"/>
      <c r="I733" s="145"/>
    </row>
    <row r="734" spans="1:11" s="150" customFormat="1" ht="36">
      <c r="A734" s="211" t="s">
        <v>123</v>
      </c>
      <c r="B734" s="212" t="s">
        <v>797</v>
      </c>
      <c r="C734" s="217" t="s">
        <v>798</v>
      </c>
      <c r="D734" s="156" t="s">
        <v>106</v>
      </c>
      <c r="E734" s="214">
        <v>7.5</v>
      </c>
      <c r="F734" s="157">
        <f>TRUNC(F735,2)</f>
        <v>43.65</v>
      </c>
      <c r="G734" s="244">
        <f>TRUNC(F734*1.2882,2)</f>
        <v>56.22</v>
      </c>
      <c r="H734" s="244">
        <f>TRUNC(F734*E734,2)</f>
        <v>327.37</v>
      </c>
      <c r="I734" s="244">
        <f>TRUNC(E734*G734,2)</f>
        <v>421.65</v>
      </c>
      <c r="J734" s="149"/>
      <c r="K734" s="149"/>
    </row>
    <row r="735" spans="1:9" ht="36">
      <c r="A735" s="33"/>
      <c r="B735" s="100" t="s">
        <v>1021</v>
      </c>
      <c r="C735" s="101" t="s">
        <v>798</v>
      </c>
      <c r="D735" s="22" t="s">
        <v>44</v>
      </c>
      <c r="E735" s="167">
        <v>1</v>
      </c>
      <c r="F735" s="24">
        <f>TRUNC(G739,2)</f>
        <v>43.65</v>
      </c>
      <c r="G735" s="239">
        <f>TRUNC(E735*F735,2)</f>
        <v>43.65</v>
      </c>
      <c r="H735" s="128"/>
      <c r="I735" s="128"/>
    </row>
    <row r="736" spans="1:9" ht="36">
      <c r="A736" s="33"/>
      <c r="B736" s="100" t="s">
        <v>1020</v>
      </c>
      <c r="C736" s="101" t="s">
        <v>799</v>
      </c>
      <c r="D736" s="22" t="s">
        <v>46</v>
      </c>
      <c r="E736" s="167">
        <v>1.02</v>
      </c>
      <c r="F736" s="24">
        <v>10.33</v>
      </c>
      <c r="G736" s="128">
        <f>TRUNC(E736*F736,2)</f>
        <v>10.53</v>
      </c>
      <c r="H736" s="128"/>
      <c r="I736" s="128"/>
    </row>
    <row r="737" spans="1:9" ht="18.75">
      <c r="A737" s="33"/>
      <c r="B737" s="100" t="s">
        <v>964</v>
      </c>
      <c r="C737" s="101" t="s">
        <v>286</v>
      </c>
      <c r="D737" s="22" t="s">
        <v>7</v>
      </c>
      <c r="E737" s="167">
        <v>0.4</v>
      </c>
      <c r="F737" s="24">
        <f>TRUNC(19.85,2)</f>
        <v>19.85</v>
      </c>
      <c r="G737" s="128">
        <f>TRUNC(E737*F737,2)</f>
        <v>7.94</v>
      </c>
      <c r="H737" s="128"/>
      <c r="I737" s="128"/>
    </row>
    <row r="738" spans="1:9" ht="18.75">
      <c r="A738" s="33"/>
      <c r="B738" s="100" t="s">
        <v>968</v>
      </c>
      <c r="C738" s="101" t="s">
        <v>576</v>
      </c>
      <c r="D738" s="22" t="s">
        <v>7</v>
      </c>
      <c r="E738" s="167">
        <v>1</v>
      </c>
      <c r="F738" s="24">
        <f>TRUNC(25.18,2)</f>
        <v>25.18</v>
      </c>
      <c r="G738" s="128">
        <f>TRUNC(E738*F738,2)</f>
        <v>25.18</v>
      </c>
      <c r="H738" s="128"/>
      <c r="I738" s="128"/>
    </row>
    <row r="739" spans="1:9" ht="18.75">
      <c r="A739" s="33"/>
      <c r="B739" s="100"/>
      <c r="C739" s="101"/>
      <c r="D739" s="22"/>
      <c r="E739" s="167" t="s">
        <v>5</v>
      </c>
      <c r="F739" s="24"/>
      <c r="G739" s="240">
        <f>TRUNC(SUM(G736:G738),2)</f>
        <v>43.65</v>
      </c>
      <c r="H739" s="128"/>
      <c r="I739" s="128"/>
    </row>
    <row r="740" spans="1:11" s="150" customFormat="1" ht="36">
      <c r="A740" s="211" t="s">
        <v>125</v>
      </c>
      <c r="B740" s="212" t="s">
        <v>480</v>
      </c>
      <c r="C740" s="217" t="s">
        <v>481</v>
      </c>
      <c r="D740" s="156" t="s">
        <v>52</v>
      </c>
      <c r="E740" s="214">
        <v>13.8</v>
      </c>
      <c r="F740" s="157">
        <f>TRUNC(F741,2)</f>
        <v>50.94</v>
      </c>
      <c r="G740" s="244">
        <f>TRUNC(F740*1.2882,2)</f>
        <v>65.62</v>
      </c>
      <c r="H740" s="244">
        <f>TRUNC(F740*E740,2)</f>
        <v>702.97</v>
      </c>
      <c r="I740" s="244">
        <f>TRUNC(E740*G740,2)</f>
        <v>905.55</v>
      </c>
      <c r="J740" s="149"/>
      <c r="K740" s="149"/>
    </row>
    <row r="741" spans="1:9" ht="36">
      <c r="A741" s="31"/>
      <c r="B741" s="98" t="s">
        <v>480</v>
      </c>
      <c r="C741" s="103" t="s">
        <v>937</v>
      </c>
      <c r="D741" s="18" t="s">
        <v>52</v>
      </c>
      <c r="E741" s="169">
        <v>1</v>
      </c>
      <c r="F741" s="19">
        <f>TRUNC(G752,2)</f>
        <v>50.94</v>
      </c>
      <c r="G741" s="239">
        <f aca="true" t="shared" si="39" ref="G741:G751">TRUNC(E741*F741,2)</f>
        <v>50.94</v>
      </c>
      <c r="H741" s="128"/>
      <c r="I741" s="128"/>
    </row>
    <row r="742" spans="1:9" ht="18.75">
      <c r="A742" s="33"/>
      <c r="B742" s="100" t="s">
        <v>476</v>
      </c>
      <c r="C742" s="103" t="s">
        <v>477</v>
      </c>
      <c r="D742" s="22" t="s">
        <v>0</v>
      </c>
      <c r="E742" s="167">
        <v>3</v>
      </c>
      <c r="F742" s="24">
        <f>TRUNC(0.04,2)</f>
        <v>0.04</v>
      </c>
      <c r="G742" s="128">
        <f t="shared" si="39"/>
        <v>0.12</v>
      </c>
      <c r="H742" s="128"/>
      <c r="I742" s="128"/>
    </row>
    <row r="743" spans="1:9" ht="18.75">
      <c r="A743" s="33"/>
      <c r="B743" s="100" t="s">
        <v>482</v>
      </c>
      <c r="C743" s="103" t="s">
        <v>483</v>
      </c>
      <c r="D743" s="22" t="s">
        <v>0</v>
      </c>
      <c r="E743" s="167">
        <v>0.44</v>
      </c>
      <c r="F743" s="24">
        <f>TRUNC(0.89,2)</f>
        <v>0.89</v>
      </c>
      <c r="G743" s="128">
        <f t="shared" si="39"/>
        <v>0.39</v>
      </c>
      <c r="H743" s="128"/>
      <c r="I743" s="128"/>
    </row>
    <row r="744" spans="1:9" ht="18.75">
      <c r="A744" s="33"/>
      <c r="B744" s="100" t="s">
        <v>478</v>
      </c>
      <c r="C744" s="103" t="s">
        <v>479</v>
      </c>
      <c r="D744" s="22" t="s">
        <v>0</v>
      </c>
      <c r="E744" s="167">
        <v>1.55</v>
      </c>
      <c r="F744" s="24">
        <f>TRUNC(4.65,2)</f>
        <v>4.65</v>
      </c>
      <c r="G744" s="128">
        <f t="shared" si="39"/>
        <v>7.2</v>
      </c>
      <c r="H744" s="128"/>
      <c r="I744" s="128"/>
    </row>
    <row r="745" spans="1:9" ht="18.75">
      <c r="A745" s="33"/>
      <c r="B745" s="100" t="s">
        <v>484</v>
      </c>
      <c r="C745" s="103" t="s">
        <v>485</v>
      </c>
      <c r="D745" s="22" t="s">
        <v>0</v>
      </c>
      <c r="E745" s="167">
        <v>0.33</v>
      </c>
      <c r="F745" s="24">
        <f>TRUNC(21.27,2)</f>
        <v>21.27</v>
      </c>
      <c r="G745" s="128">
        <f t="shared" si="39"/>
        <v>7.01</v>
      </c>
      <c r="H745" s="128"/>
      <c r="I745" s="128"/>
    </row>
    <row r="746" spans="1:9" ht="18.75">
      <c r="A746" s="33"/>
      <c r="B746" s="100" t="s">
        <v>486</v>
      </c>
      <c r="C746" s="103" t="s">
        <v>487</v>
      </c>
      <c r="D746" s="22" t="s">
        <v>0</v>
      </c>
      <c r="E746" s="167">
        <v>0.22</v>
      </c>
      <c r="F746" s="24">
        <f>TRUNC(12.77,2)</f>
        <v>12.77</v>
      </c>
      <c r="G746" s="128">
        <f t="shared" si="39"/>
        <v>2.8</v>
      </c>
      <c r="H746" s="128"/>
      <c r="I746" s="128"/>
    </row>
    <row r="747" spans="1:9" ht="18.75">
      <c r="A747" s="33"/>
      <c r="B747" s="100" t="s">
        <v>488</v>
      </c>
      <c r="C747" s="103" t="s">
        <v>489</v>
      </c>
      <c r="D747" s="22" t="s">
        <v>0</v>
      </c>
      <c r="E747" s="167">
        <v>0.36</v>
      </c>
      <c r="F747" s="24">
        <f>TRUNC(48.79,2)</f>
        <v>48.79</v>
      </c>
      <c r="G747" s="128">
        <f t="shared" si="39"/>
        <v>17.56</v>
      </c>
      <c r="H747" s="128"/>
      <c r="I747" s="128"/>
    </row>
    <row r="748" spans="1:9" ht="18.75">
      <c r="A748" s="33"/>
      <c r="B748" s="100" t="s">
        <v>490</v>
      </c>
      <c r="C748" s="103" t="s">
        <v>491</v>
      </c>
      <c r="D748" s="22" t="s">
        <v>0</v>
      </c>
      <c r="E748" s="167">
        <v>0.11</v>
      </c>
      <c r="F748" s="24">
        <f>TRUNC(10.18,2)</f>
        <v>10.18</v>
      </c>
      <c r="G748" s="128">
        <f t="shared" si="39"/>
        <v>1.11</v>
      </c>
      <c r="H748" s="128"/>
      <c r="I748" s="128"/>
    </row>
    <row r="749" spans="1:9" ht="18.75">
      <c r="A749" s="33"/>
      <c r="B749" s="100" t="s">
        <v>492</v>
      </c>
      <c r="C749" s="103" t="s">
        <v>493</v>
      </c>
      <c r="D749" s="22" t="s">
        <v>0</v>
      </c>
      <c r="E749" s="167">
        <v>0.11</v>
      </c>
      <c r="F749" s="24">
        <f>TRUNC(5.92,2)</f>
        <v>5.92</v>
      </c>
      <c r="G749" s="128">
        <f t="shared" si="39"/>
        <v>0.65</v>
      </c>
      <c r="H749" s="128"/>
      <c r="I749" s="128"/>
    </row>
    <row r="750" spans="1:9" ht="36">
      <c r="A750" s="33"/>
      <c r="B750" s="100" t="s">
        <v>40</v>
      </c>
      <c r="C750" s="103" t="s">
        <v>41</v>
      </c>
      <c r="D750" s="22" t="s">
        <v>7</v>
      </c>
      <c r="E750" s="167">
        <v>0.4532</v>
      </c>
      <c r="F750" s="24">
        <f>TRUNC(13.08,2)</f>
        <v>13.08</v>
      </c>
      <c r="G750" s="128">
        <f t="shared" si="39"/>
        <v>5.92</v>
      </c>
      <c r="H750" s="128"/>
      <c r="I750" s="128"/>
    </row>
    <row r="751" spans="1:9" ht="36">
      <c r="A751" s="33"/>
      <c r="B751" s="100" t="s">
        <v>84</v>
      </c>
      <c r="C751" s="103" t="s">
        <v>267</v>
      </c>
      <c r="D751" s="22" t="s">
        <v>7</v>
      </c>
      <c r="E751" s="167">
        <v>0.4532</v>
      </c>
      <c r="F751" s="24">
        <f>TRUNC(18.05,2)</f>
        <v>18.05</v>
      </c>
      <c r="G751" s="128">
        <f t="shared" si="39"/>
        <v>8.18</v>
      </c>
      <c r="H751" s="128"/>
      <c r="I751" s="128"/>
    </row>
    <row r="752" spans="1:9" ht="18.75">
      <c r="A752" s="33"/>
      <c r="B752" s="100"/>
      <c r="C752" s="103"/>
      <c r="D752" s="22"/>
      <c r="E752" s="167" t="s">
        <v>5</v>
      </c>
      <c r="F752" s="24"/>
      <c r="G752" s="128">
        <f>TRUNC(SUM(G742:G751),2)</f>
        <v>50.94</v>
      </c>
      <c r="H752" s="128"/>
      <c r="I752" s="128"/>
    </row>
    <row r="753" spans="1:11" s="150" customFormat="1" ht="36">
      <c r="A753" s="211" t="s">
        <v>174</v>
      </c>
      <c r="B753" s="235" t="s">
        <v>494</v>
      </c>
      <c r="C753" s="217" t="s">
        <v>495</v>
      </c>
      <c r="D753" s="156" t="s">
        <v>52</v>
      </c>
      <c r="E753" s="214">
        <v>11</v>
      </c>
      <c r="F753" s="157">
        <f>TRUNC(G764,2)</f>
        <v>28.79</v>
      </c>
      <c r="G753" s="244">
        <f>TRUNC(F753*1.2882,2)</f>
        <v>37.08</v>
      </c>
      <c r="H753" s="244">
        <f>TRUNC(F753*E753,2)</f>
        <v>316.69</v>
      </c>
      <c r="I753" s="244">
        <f>TRUNC(E753*G753,2)</f>
        <v>407.88</v>
      </c>
      <c r="J753" s="149"/>
      <c r="K753" s="149"/>
    </row>
    <row r="754" spans="1:9" ht="36">
      <c r="A754" s="31"/>
      <c r="B754" s="98" t="s">
        <v>494</v>
      </c>
      <c r="C754" s="99" t="s">
        <v>938</v>
      </c>
      <c r="D754" s="18" t="s">
        <v>52</v>
      </c>
      <c r="E754" s="169">
        <v>1</v>
      </c>
      <c r="F754" s="19">
        <f>TRUNC(G764,2)</f>
        <v>28.79</v>
      </c>
      <c r="G754" s="239">
        <f aca="true" t="shared" si="40" ref="G754:G763">TRUNC(E754*F754,2)</f>
        <v>28.79</v>
      </c>
      <c r="H754" s="128"/>
      <c r="I754" s="128"/>
    </row>
    <row r="755" spans="1:9" ht="18.75">
      <c r="A755" s="33"/>
      <c r="B755" s="100" t="s">
        <v>496</v>
      </c>
      <c r="C755" s="101" t="s">
        <v>497</v>
      </c>
      <c r="D755" s="22" t="s">
        <v>0</v>
      </c>
      <c r="E755" s="167">
        <v>1.3</v>
      </c>
      <c r="F755" s="24">
        <f>TRUNC(0.063,2)</f>
        <v>0.06</v>
      </c>
      <c r="G755" s="128">
        <f t="shared" si="40"/>
        <v>0.07</v>
      </c>
      <c r="H755" s="128"/>
      <c r="I755" s="128"/>
    </row>
    <row r="756" spans="1:9" ht="18.75">
      <c r="A756" s="33"/>
      <c r="B756" s="100" t="s">
        <v>498</v>
      </c>
      <c r="C756" s="101" t="s">
        <v>499</v>
      </c>
      <c r="D756" s="22" t="s">
        <v>0</v>
      </c>
      <c r="E756" s="167">
        <v>1.3</v>
      </c>
      <c r="F756" s="24">
        <f>TRUNC(0.03,2)</f>
        <v>0.03</v>
      </c>
      <c r="G756" s="128">
        <f t="shared" si="40"/>
        <v>0.03</v>
      </c>
      <c r="H756" s="128"/>
      <c r="I756" s="128"/>
    </row>
    <row r="757" spans="1:9" ht="18.75">
      <c r="A757" s="33"/>
      <c r="B757" s="100" t="s">
        <v>500</v>
      </c>
      <c r="C757" s="101" t="s">
        <v>501</v>
      </c>
      <c r="D757" s="22" t="s">
        <v>0</v>
      </c>
      <c r="E757" s="167">
        <v>0.66</v>
      </c>
      <c r="F757" s="24">
        <f>TRUNC(9.04,2)</f>
        <v>9.04</v>
      </c>
      <c r="G757" s="128">
        <f t="shared" si="40"/>
        <v>5.96</v>
      </c>
      <c r="H757" s="128"/>
      <c r="I757" s="128"/>
    </row>
    <row r="758" spans="1:9" ht="18.75">
      <c r="A758" s="33"/>
      <c r="B758" s="100" t="s">
        <v>502</v>
      </c>
      <c r="C758" s="101" t="s">
        <v>503</v>
      </c>
      <c r="D758" s="22" t="s">
        <v>0</v>
      </c>
      <c r="E758" s="167">
        <v>0.36</v>
      </c>
      <c r="F758" s="24">
        <f>TRUNC(32.07,2)</f>
        <v>32.07</v>
      </c>
      <c r="G758" s="128">
        <f t="shared" si="40"/>
        <v>11.54</v>
      </c>
      <c r="H758" s="128"/>
      <c r="I758" s="128"/>
    </row>
    <row r="759" spans="1:9" ht="18.75">
      <c r="A759" s="33"/>
      <c r="B759" s="100" t="s">
        <v>504</v>
      </c>
      <c r="C759" s="101" t="s">
        <v>505</v>
      </c>
      <c r="D759" s="22" t="s">
        <v>0</v>
      </c>
      <c r="E759" s="167">
        <v>0.33</v>
      </c>
      <c r="F759" s="24">
        <f>TRUNC(9.04,2)</f>
        <v>9.04</v>
      </c>
      <c r="G759" s="128">
        <f t="shared" si="40"/>
        <v>2.98</v>
      </c>
      <c r="H759" s="128"/>
      <c r="I759" s="128"/>
    </row>
    <row r="760" spans="1:9" ht="18.75">
      <c r="A760" s="33"/>
      <c r="B760" s="100" t="s">
        <v>506</v>
      </c>
      <c r="C760" s="101" t="s">
        <v>507</v>
      </c>
      <c r="D760" s="22" t="s">
        <v>0</v>
      </c>
      <c r="E760" s="167">
        <v>0.66</v>
      </c>
      <c r="F760" s="24">
        <f>TRUNC(2.77,2)</f>
        <v>2.77</v>
      </c>
      <c r="G760" s="128">
        <f t="shared" si="40"/>
        <v>1.82</v>
      </c>
      <c r="H760" s="128"/>
      <c r="I760" s="128"/>
    </row>
    <row r="761" spans="1:9" ht="18.75">
      <c r="A761" s="33"/>
      <c r="B761" s="100" t="s">
        <v>150</v>
      </c>
      <c r="C761" s="101" t="s">
        <v>151</v>
      </c>
      <c r="D761" s="22" t="s">
        <v>0</v>
      </c>
      <c r="E761" s="167">
        <v>0.1</v>
      </c>
      <c r="F761" s="24">
        <f>TRUNC(3.17,2)</f>
        <v>3.17</v>
      </c>
      <c r="G761" s="128">
        <f t="shared" si="40"/>
        <v>0.31</v>
      </c>
      <c r="H761" s="128"/>
      <c r="I761" s="128"/>
    </row>
    <row r="762" spans="1:9" ht="36">
      <c r="A762" s="33"/>
      <c r="B762" s="100" t="s">
        <v>40</v>
      </c>
      <c r="C762" s="101" t="s">
        <v>41</v>
      </c>
      <c r="D762" s="22" t="s">
        <v>7</v>
      </c>
      <c r="E762" s="167">
        <v>0.1957</v>
      </c>
      <c r="F762" s="24">
        <f>TRUNC(13.08,2)</f>
        <v>13.08</v>
      </c>
      <c r="G762" s="128">
        <f t="shared" si="40"/>
        <v>2.55</v>
      </c>
      <c r="H762" s="128"/>
      <c r="I762" s="128"/>
    </row>
    <row r="763" spans="1:9" ht="36">
      <c r="A763" s="33"/>
      <c r="B763" s="100" t="s">
        <v>84</v>
      </c>
      <c r="C763" s="101" t="s">
        <v>267</v>
      </c>
      <c r="D763" s="22" t="s">
        <v>7</v>
      </c>
      <c r="E763" s="167">
        <v>0.1957</v>
      </c>
      <c r="F763" s="24">
        <f>TRUNC(18.05,2)</f>
        <v>18.05</v>
      </c>
      <c r="G763" s="128">
        <f t="shared" si="40"/>
        <v>3.53</v>
      </c>
      <c r="H763" s="128"/>
      <c r="I763" s="128"/>
    </row>
    <row r="764" spans="1:9" ht="18.75">
      <c r="A764" s="33"/>
      <c r="B764" s="100"/>
      <c r="C764" s="101"/>
      <c r="D764" s="22"/>
      <c r="E764" s="167" t="s">
        <v>5</v>
      </c>
      <c r="F764" s="24"/>
      <c r="G764" s="128">
        <f>TRUNC(SUM(G755:G763),2)</f>
        <v>28.79</v>
      </c>
      <c r="H764" s="128"/>
      <c r="I764" s="128"/>
    </row>
    <row r="765" spans="1:11" s="150" customFormat="1" ht="54">
      <c r="A765" s="211" t="s">
        <v>175</v>
      </c>
      <c r="B765" s="235" t="s">
        <v>613</v>
      </c>
      <c r="C765" s="217" t="s">
        <v>780</v>
      </c>
      <c r="D765" s="156" t="s">
        <v>52</v>
      </c>
      <c r="E765" s="214">
        <v>45.4</v>
      </c>
      <c r="F765" s="157">
        <f>TRUNC(F766,2)</f>
        <v>35.8</v>
      </c>
      <c r="G765" s="244">
        <f>TRUNC(F765*1.2882,2)</f>
        <v>46.11</v>
      </c>
      <c r="H765" s="244">
        <f>TRUNC(F765*E765,2)</f>
        <v>1625.32</v>
      </c>
      <c r="I765" s="244">
        <f>TRUNC(E765*G765,2)</f>
        <v>2093.39</v>
      </c>
      <c r="J765" s="149"/>
      <c r="K765" s="149"/>
    </row>
    <row r="766" spans="1:9" ht="36">
      <c r="A766" s="31"/>
      <c r="B766" s="98" t="s">
        <v>613</v>
      </c>
      <c r="C766" s="99" t="s">
        <v>939</v>
      </c>
      <c r="D766" s="18" t="s">
        <v>52</v>
      </c>
      <c r="E766" s="169">
        <v>1</v>
      </c>
      <c r="F766" s="19">
        <f>TRUNC(G774,2)</f>
        <v>35.8</v>
      </c>
      <c r="G766" s="239">
        <f aca="true" t="shared" si="41" ref="G766:G773">TRUNC(E766*F766,2)</f>
        <v>35.8</v>
      </c>
      <c r="H766" s="128"/>
      <c r="I766" s="128"/>
    </row>
    <row r="767" spans="1:9" ht="18.75">
      <c r="A767" s="33"/>
      <c r="B767" s="100" t="s">
        <v>614</v>
      </c>
      <c r="C767" s="101" t="s">
        <v>615</v>
      </c>
      <c r="D767" s="22" t="s">
        <v>52</v>
      </c>
      <c r="E767" s="167">
        <v>1.05</v>
      </c>
      <c r="F767" s="24">
        <f>TRUNC(17.59,2)</f>
        <v>17.59</v>
      </c>
      <c r="G767" s="128">
        <f t="shared" si="41"/>
        <v>18.46</v>
      </c>
      <c r="H767" s="128"/>
      <c r="I767" s="128"/>
    </row>
    <row r="768" spans="1:9" ht="18.75">
      <c r="A768" s="33"/>
      <c r="B768" s="100" t="s">
        <v>162</v>
      </c>
      <c r="C768" s="101" t="s">
        <v>373</v>
      </c>
      <c r="D768" s="22" t="s">
        <v>0</v>
      </c>
      <c r="E768" s="167">
        <v>0.11</v>
      </c>
      <c r="F768" s="24">
        <f>TRUNC(8.4,2)</f>
        <v>8.4</v>
      </c>
      <c r="G768" s="128">
        <f t="shared" si="41"/>
        <v>0.92</v>
      </c>
      <c r="H768" s="128"/>
      <c r="I768" s="128"/>
    </row>
    <row r="769" spans="1:9" ht="36">
      <c r="A769" s="33"/>
      <c r="B769" s="100" t="s">
        <v>40</v>
      </c>
      <c r="C769" s="101" t="s">
        <v>41</v>
      </c>
      <c r="D769" s="22" t="s">
        <v>7</v>
      </c>
      <c r="E769" s="167">
        <v>0.4635</v>
      </c>
      <c r="F769" s="24">
        <f>TRUNC(13.08,2)</f>
        <v>13.08</v>
      </c>
      <c r="G769" s="128">
        <f t="shared" si="41"/>
        <v>6.06</v>
      </c>
      <c r="H769" s="128"/>
      <c r="I769" s="128"/>
    </row>
    <row r="770" spans="1:9" ht="36">
      <c r="A770" s="33"/>
      <c r="B770" s="100" t="s">
        <v>167</v>
      </c>
      <c r="C770" s="101" t="s">
        <v>401</v>
      </c>
      <c r="D770" s="22" t="s">
        <v>7</v>
      </c>
      <c r="E770" s="167">
        <v>0.41200000000000003</v>
      </c>
      <c r="F770" s="24">
        <f>TRUNC(18.05,2)</f>
        <v>18.05</v>
      </c>
      <c r="G770" s="128">
        <f t="shared" si="41"/>
        <v>7.43</v>
      </c>
      <c r="H770" s="128"/>
      <c r="I770" s="128"/>
    </row>
    <row r="771" spans="1:9" ht="36">
      <c r="A771" s="33"/>
      <c r="B771" s="100" t="s">
        <v>147</v>
      </c>
      <c r="C771" s="101" t="s">
        <v>287</v>
      </c>
      <c r="D771" s="22" t="s">
        <v>44</v>
      </c>
      <c r="E771" s="167">
        <v>0.2</v>
      </c>
      <c r="F771" s="24">
        <f>TRUNC(4.5364,2)</f>
        <v>4.53</v>
      </c>
      <c r="G771" s="128">
        <f t="shared" si="41"/>
        <v>0.9</v>
      </c>
      <c r="H771" s="128"/>
      <c r="I771" s="128"/>
    </row>
    <row r="772" spans="1:9" ht="18.75">
      <c r="A772" s="33"/>
      <c r="B772" s="100" t="s">
        <v>170</v>
      </c>
      <c r="C772" s="101" t="s">
        <v>402</v>
      </c>
      <c r="D772" s="22" t="s">
        <v>39</v>
      </c>
      <c r="E772" s="167">
        <v>0.007</v>
      </c>
      <c r="F772" s="24">
        <f>TRUNC(244.852,2)</f>
        <v>244.85</v>
      </c>
      <c r="G772" s="128">
        <f t="shared" si="41"/>
        <v>1.71</v>
      </c>
      <c r="H772" s="128"/>
      <c r="I772" s="128"/>
    </row>
    <row r="773" spans="1:9" ht="18.75">
      <c r="A773" s="33"/>
      <c r="B773" s="100" t="s">
        <v>113</v>
      </c>
      <c r="C773" s="101" t="s">
        <v>413</v>
      </c>
      <c r="D773" s="22" t="s">
        <v>39</v>
      </c>
      <c r="E773" s="167">
        <v>0.0006</v>
      </c>
      <c r="F773" s="24">
        <f>TRUNC(542.5016,2)</f>
        <v>542.5</v>
      </c>
      <c r="G773" s="128">
        <f t="shared" si="41"/>
        <v>0.32</v>
      </c>
      <c r="H773" s="128"/>
      <c r="I773" s="128"/>
    </row>
    <row r="774" spans="1:9" ht="18.75">
      <c r="A774" s="33"/>
      <c r="B774" s="100"/>
      <c r="C774" s="101"/>
      <c r="D774" s="22"/>
      <c r="E774" s="167" t="s">
        <v>5</v>
      </c>
      <c r="F774" s="24"/>
      <c r="G774" s="128">
        <f>TRUNC(SUM(G767:G773),2)</f>
        <v>35.8</v>
      </c>
      <c r="H774" s="128"/>
      <c r="I774" s="128"/>
    </row>
    <row r="775" spans="1:11" ht="18.75">
      <c r="A775" s="29" t="s">
        <v>130</v>
      </c>
      <c r="B775" s="293"/>
      <c r="C775" s="294"/>
      <c r="D775" s="295"/>
      <c r="E775" s="298" t="s">
        <v>91</v>
      </c>
      <c r="F775" s="299"/>
      <c r="G775" s="300"/>
      <c r="H775" s="271">
        <f>H705+H713+H722+H734+H740+H753+H765</f>
        <v>6059.199999999999</v>
      </c>
      <c r="I775" s="38">
        <f>I705+I713+I722+I734+I740+I753+I765</f>
        <v>7804.43</v>
      </c>
      <c r="K775" s="63"/>
    </row>
    <row r="776" spans="1:11" s="152" customFormat="1" ht="18.75">
      <c r="A776" s="273" t="s">
        <v>176</v>
      </c>
      <c r="B776" s="282"/>
      <c r="C776" s="283" t="s">
        <v>79</v>
      </c>
      <c r="D776" s="276"/>
      <c r="E776" s="277"/>
      <c r="F776" s="279"/>
      <c r="G776" s="278"/>
      <c r="H776" s="278"/>
      <c r="I776" s="272"/>
      <c r="J776" s="281"/>
      <c r="K776" s="151"/>
    </row>
    <row r="777" spans="1:11" s="150" customFormat="1" ht="36">
      <c r="A777" s="211" t="s">
        <v>177</v>
      </c>
      <c r="B777" s="212" t="s">
        <v>524</v>
      </c>
      <c r="C777" s="217" t="s">
        <v>508</v>
      </c>
      <c r="D777" s="156" t="s">
        <v>106</v>
      </c>
      <c r="E777" s="214">
        <v>177.78</v>
      </c>
      <c r="F777" s="157">
        <f>TRUNC(F778,2)</f>
        <v>27.76</v>
      </c>
      <c r="G777" s="244">
        <f>TRUNC(F777*1.2882,2)</f>
        <v>35.76</v>
      </c>
      <c r="H777" s="244">
        <f>TRUNC(F777*E777,2)</f>
        <v>4935.17</v>
      </c>
      <c r="I777" s="244">
        <f>TRUNC(E777*G777,2)</f>
        <v>6357.41</v>
      </c>
      <c r="J777" s="149"/>
      <c r="K777" s="149"/>
    </row>
    <row r="778" spans="1:9" ht="72">
      <c r="A778" s="33"/>
      <c r="B778" s="100" t="s">
        <v>524</v>
      </c>
      <c r="C778" s="101" t="s">
        <v>525</v>
      </c>
      <c r="D778" s="22" t="s">
        <v>44</v>
      </c>
      <c r="E778" s="167">
        <v>1</v>
      </c>
      <c r="F778" s="24">
        <f>TRUNC(G784,2)</f>
        <v>27.76</v>
      </c>
      <c r="G778" s="239">
        <f aca="true" t="shared" si="42" ref="G778:G783">TRUNC(E778*F778,2)</f>
        <v>27.76</v>
      </c>
      <c r="H778" s="128"/>
      <c r="I778" s="128"/>
    </row>
    <row r="779" spans="1:9" ht="18.75">
      <c r="A779" s="33"/>
      <c r="B779" s="100" t="s">
        <v>526</v>
      </c>
      <c r="C779" s="101" t="s">
        <v>527</v>
      </c>
      <c r="D779" s="22" t="s">
        <v>0</v>
      </c>
      <c r="E779" s="167">
        <v>1</v>
      </c>
      <c r="F779" s="24">
        <f>TRUNC(0.69,2)</f>
        <v>0.69</v>
      </c>
      <c r="G779" s="128">
        <f t="shared" si="42"/>
        <v>0.69</v>
      </c>
      <c r="H779" s="128"/>
      <c r="I779" s="128"/>
    </row>
    <row r="780" spans="1:9" ht="18.75">
      <c r="A780" s="33"/>
      <c r="B780" s="100" t="s">
        <v>528</v>
      </c>
      <c r="C780" s="101" t="s">
        <v>529</v>
      </c>
      <c r="D780" s="22" t="s">
        <v>97</v>
      </c>
      <c r="E780" s="167">
        <v>0.08</v>
      </c>
      <c r="F780" s="24">
        <f>TRUNC(14.51,2)</f>
        <v>14.51</v>
      </c>
      <c r="G780" s="128">
        <f t="shared" si="42"/>
        <v>1.16</v>
      </c>
      <c r="H780" s="128"/>
      <c r="I780" s="128"/>
    </row>
    <row r="781" spans="1:9" ht="36">
      <c r="A781" s="33"/>
      <c r="B781" s="100" t="s">
        <v>530</v>
      </c>
      <c r="C781" s="101" t="s">
        <v>531</v>
      </c>
      <c r="D781" s="22" t="s">
        <v>0</v>
      </c>
      <c r="E781" s="167">
        <v>0.024</v>
      </c>
      <c r="F781" s="24">
        <f>TRUNC(341.42,2)</f>
        <v>341.42</v>
      </c>
      <c r="G781" s="128">
        <f t="shared" si="42"/>
        <v>8.19</v>
      </c>
      <c r="H781" s="128"/>
      <c r="I781" s="128"/>
    </row>
    <row r="782" spans="1:9" ht="36">
      <c r="A782" s="33"/>
      <c r="B782" s="100" t="s">
        <v>40</v>
      </c>
      <c r="C782" s="101" t="s">
        <v>41</v>
      </c>
      <c r="D782" s="22" t="s">
        <v>7</v>
      </c>
      <c r="E782" s="167">
        <v>0.3605</v>
      </c>
      <c r="F782" s="24">
        <f>TRUNC(13.08,2)</f>
        <v>13.08</v>
      </c>
      <c r="G782" s="128">
        <f t="shared" si="42"/>
        <v>4.71</v>
      </c>
      <c r="H782" s="128"/>
      <c r="I782" s="128"/>
    </row>
    <row r="783" spans="1:9" ht="18.75">
      <c r="A783" s="33"/>
      <c r="B783" s="100" t="s">
        <v>98</v>
      </c>
      <c r="C783" s="101" t="s">
        <v>532</v>
      </c>
      <c r="D783" s="22" t="s">
        <v>7</v>
      </c>
      <c r="E783" s="167">
        <v>0.721</v>
      </c>
      <c r="F783" s="24">
        <f>TRUNC(18.05,2)</f>
        <v>18.05</v>
      </c>
      <c r="G783" s="128">
        <f t="shared" si="42"/>
        <v>13.01</v>
      </c>
      <c r="H783" s="128"/>
      <c r="I783" s="128"/>
    </row>
    <row r="784" spans="1:9" ht="18.75">
      <c r="A784" s="33"/>
      <c r="B784" s="100"/>
      <c r="C784" s="101"/>
      <c r="D784" s="22"/>
      <c r="E784" s="167" t="s">
        <v>5</v>
      </c>
      <c r="F784" s="24"/>
      <c r="G784" s="128">
        <f>TRUNC(SUM(G779:G783),2)</f>
        <v>27.76</v>
      </c>
      <c r="H784" s="128"/>
      <c r="I784" s="128"/>
    </row>
    <row r="785" spans="1:11" s="150" customFormat="1" ht="36">
      <c r="A785" s="211" t="s">
        <v>178</v>
      </c>
      <c r="B785" s="212" t="s">
        <v>546</v>
      </c>
      <c r="C785" s="217" t="s">
        <v>790</v>
      </c>
      <c r="D785" s="156" t="s">
        <v>106</v>
      </c>
      <c r="E785" s="214">
        <v>47.26</v>
      </c>
      <c r="F785" s="157">
        <f>TRUNC((F786+F793),2)</f>
        <v>24.09</v>
      </c>
      <c r="G785" s="244">
        <f>TRUNC(F785*1.2882,2)</f>
        <v>31.03</v>
      </c>
      <c r="H785" s="244">
        <f>TRUNC(F785*E785,2)</f>
        <v>1138.49</v>
      </c>
      <c r="I785" s="244">
        <f>TRUNC(E785*G785,2)</f>
        <v>1466.47</v>
      </c>
      <c r="J785" s="149"/>
      <c r="K785" s="149"/>
    </row>
    <row r="786" spans="1:9" ht="72">
      <c r="A786" s="31" t="s">
        <v>132</v>
      </c>
      <c r="B786" s="98" t="s">
        <v>543</v>
      </c>
      <c r="C786" s="99" t="s">
        <v>940</v>
      </c>
      <c r="D786" s="18" t="s">
        <v>44</v>
      </c>
      <c r="E786" s="169">
        <v>1</v>
      </c>
      <c r="F786" s="32">
        <f>TRUNC(G792,2)</f>
        <v>18.03</v>
      </c>
      <c r="G786" s="239">
        <f aca="true" t="shared" si="43" ref="G786:G791">TRUNC(E786*F786,2)</f>
        <v>18.03</v>
      </c>
      <c r="H786" s="128"/>
      <c r="I786" s="128"/>
    </row>
    <row r="787" spans="1:9" ht="18.75">
      <c r="A787" s="33"/>
      <c r="B787" s="100" t="s">
        <v>544</v>
      </c>
      <c r="C787" s="101" t="s">
        <v>545</v>
      </c>
      <c r="D787" s="22" t="s">
        <v>97</v>
      </c>
      <c r="E787" s="167">
        <v>0.03</v>
      </c>
      <c r="F787" s="61">
        <f>TRUNC(30.66,2)</f>
        <v>30.66</v>
      </c>
      <c r="G787" s="128">
        <f t="shared" si="43"/>
        <v>0.91</v>
      </c>
      <c r="H787" s="128"/>
      <c r="I787" s="128"/>
    </row>
    <row r="788" spans="1:9" ht="18.75">
      <c r="A788" s="33"/>
      <c r="B788" s="100" t="s">
        <v>541</v>
      </c>
      <c r="C788" s="101" t="s">
        <v>542</v>
      </c>
      <c r="D788" s="22" t="s">
        <v>0</v>
      </c>
      <c r="E788" s="167">
        <v>0.027</v>
      </c>
      <c r="F788" s="61">
        <f>TRUNC(55.73,2)</f>
        <v>55.73</v>
      </c>
      <c r="G788" s="128">
        <f t="shared" si="43"/>
        <v>1.5</v>
      </c>
      <c r="H788" s="128"/>
      <c r="I788" s="128"/>
    </row>
    <row r="789" spans="1:9" ht="18.75">
      <c r="A789" s="33"/>
      <c r="B789" s="100" t="s">
        <v>221</v>
      </c>
      <c r="C789" s="101" t="s">
        <v>308</v>
      </c>
      <c r="D789" s="22" t="s">
        <v>0</v>
      </c>
      <c r="E789" s="167">
        <v>1</v>
      </c>
      <c r="F789" s="61">
        <f>TRUNC(0.43,2)</f>
        <v>0.43</v>
      </c>
      <c r="G789" s="128">
        <f t="shared" si="43"/>
        <v>0.43</v>
      </c>
      <c r="H789" s="128"/>
      <c r="I789" s="128"/>
    </row>
    <row r="790" spans="1:9" ht="36">
      <c r="A790" s="33"/>
      <c r="B790" s="100" t="s">
        <v>40</v>
      </c>
      <c r="C790" s="101" t="s">
        <v>41</v>
      </c>
      <c r="D790" s="22" t="s">
        <v>7</v>
      </c>
      <c r="E790" s="167">
        <v>0.309</v>
      </c>
      <c r="F790" s="61">
        <f>TRUNC(13.08,2)</f>
        <v>13.08</v>
      </c>
      <c r="G790" s="128">
        <f t="shared" si="43"/>
        <v>4.04</v>
      </c>
      <c r="H790" s="128"/>
      <c r="I790" s="128"/>
    </row>
    <row r="791" spans="1:9" ht="18.75">
      <c r="A791" s="33"/>
      <c r="B791" s="100" t="s">
        <v>98</v>
      </c>
      <c r="C791" s="101" t="s">
        <v>532</v>
      </c>
      <c r="D791" s="22" t="s">
        <v>7</v>
      </c>
      <c r="E791" s="167">
        <v>0.618</v>
      </c>
      <c r="F791" s="61">
        <f>TRUNC(18.05,2)</f>
        <v>18.05</v>
      </c>
      <c r="G791" s="128">
        <f t="shared" si="43"/>
        <v>11.15</v>
      </c>
      <c r="H791" s="128"/>
      <c r="I791" s="128"/>
    </row>
    <row r="792" spans="1:9" ht="18.75">
      <c r="A792" s="33"/>
      <c r="B792" s="100"/>
      <c r="C792" s="101"/>
      <c r="D792" s="22"/>
      <c r="E792" s="167" t="s">
        <v>5</v>
      </c>
      <c r="F792" s="61"/>
      <c r="G792" s="128">
        <f>TRUNC(SUM(G787:G791),2)</f>
        <v>18.03</v>
      </c>
      <c r="H792" s="128"/>
      <c r="I792" s="128"/>
    </row>
    <row r="793" spans="1:9" ht="72">
      <c r="A793" s="33" t="s">
        <v>133</v>
      </c>
      <c r="B793" s="100" t="s">
        <v>547</v>
      </c>
      <c r="C793" s="101" t="s">
        <v>941</v>
      </c>
      <c r="D793" s="22" t="s">
        <v>44</v>
      </c>
      <c r="E793" s="167">
        <v>1</v>
      </c>
      <c r="F793" s="61">
        <f>TRUNC(G797,2)</f>
        <v>6.06</v>
      </c>
      <c r="G793" s="128">
        <f>TRUNC(E793*F793,2)</f>
        <v>6.06</v>
      </c>
      <c r="H793" s="128"/>
      <c r="I793" s="128"/>
    </row>
    <row r="794" spans="1:9" ht="18.75">
      <c r="A794" s="33"/>
      <c r="B794" s="100" t="s">
        <v>548</v>
      </c>
      <c r="C794" s="101" t="s">
        <v>549</v>
      </c>
      <c r="D794" s="22" t="s">
        <v>97</v>
      </c>
      <c r="E794" s="167">
        <v>0.05</v>
      </c>
      <c r="F794" s="61">
        <f>TRUNC(57.05,2)</f>
        <v>57.05</v>
      </c>
      <c r="G794" s="128">
        <f>TRUNC(E794*F794,2)</f>
        <v>2.85</v>
      </c>
      <c r="H794" s="128"/>
      <c r="I794" s="128"/>
    </row>
    <row r="795" spans="1:9" ht="36">
      <c r="A795" s="33"/>
      <c r="B795" s="100" t="s">
        <v>40</v>
      </c>
      <c r="C795" s="101" t="s">
        <v>41</v>
      </c>
      <c r="D795" s="22" t="s">
        <v>7</v>
      </c>
      <c r="E795" s="167">
        <v>0.0618</v>
      </c>
      <c r="F795" s="61">
        <f>TRUNC(13.08,2)</f>
        <v>13.08</v>
      </c>
      <c r="G795" s="128">
        <f>TRUNC(E795*F795,2)</f>
        <v>0.8</v>
      </c>
      <c r="H795" s="128"/>
      <c r="I795" s="128"/>
    </row>
    <row r="796" spans="1:9" ht="18.75">
      <c r="A796" s="33"/>
      <c r="B796" s="100" t="s">
        <v>98</v>
      </c>
      <c r="C796" s="101" t="s">
        <v>532</v>
      </c>
      <c r="D796" s="22" t="s">
        <v>7</v>
      </c>
      <c r="E796" s="167">
        <v>0.13390000000000002</v>
      </c>
      <c r="F796" s="61">
        <f>TRUNC(18.05,2)</f>
        <v>18.05</v>
      </c>
      <c r="G796" s="128">
        <f>TRUNC(E796*F796,2)</f>
        <v>2.41</v>
      </c>
      <c r="H796" s="128"/>
      <c r="I796" s="128"/>
    </row>
    <row r="797" spans="1:9" ht="18.75">
      <c r="A797" s="33"/>
      <c r="B797" s="100"/>
      <c r="C797" s="101"/>
      <c r="D797" s="22"/>
      <c r="E797" s="167" t="s">
        <v>5</v>
      </c>
      <c r="F797" s="61"/>
      <c r="G797" s="128">
        <f>TRUNC(SUM(G794:G796),2)</f>
        <v>6.06</v>
      </c>
      <c r="H797" s="128"/>
      <c r="I797" s="128"/>
    </row>
    <row r="798" spans="1:11" s="150" customFormat="1" ht="54">
      <c r="A798" s="211" t="s">
        <v>179</v>
      </c>
      <c r="B798" s="212" t="s">
        <v>537</v>
      </c>
      <c r="C798" s="217" t="s">
        <v>509</v>
      </c>
      <c r="D798" s="156" t="s">
        <v>106</v>
      </c>
      <c r="E798" s="214">
        <v>61.91</v>
      </c>
      <c r="F798" s="157">
        <f>TRUNC(F799,2)</f>
        <v>32.69</v>
      </c>
      <c r="G798" s="244">
        <f>TRUNC(F798*1.2882,2)</f>
        <v>42.11</v>
      </c>
      <c r="H798" s="244">
        <f>TRUNC(F798*E798,2)</f>
        <v>2023.83</v>
      </c>
      <c r="I798" s="244">
        <f>TRUNC(E798*G798,2)</f>
        <v>2607.03</v>
      </c>
      <c r="J798" s="149"/>
      <c r="K798" s="149"/>
    </row>
    <row r="799" spans="1:9" ht="54">
      <c r="A799" s="33"/>
      <c r="B799" s="100" t="s">
        <v>537</v>
      </c>
      <c r="C799" s="103" t="s">
        <v>538</v>
      </c>
      <c r="D799" s="22" t="s">
        <v>44</v>
      </c>
      <c r="E799" s="167">
        <v>1</v>
      </c>
      <c r="F799" s="24">
        <f>TRUNC(G806,2)</f>
        <v>32.69</v>
      </c>
      <c r="G799" s="239">
        <f aca="true" t="shared" si="44" ref="G799:G805">TRUNC(E799*F799,2)</f>
        <v>32.69</v>
      </c>
      <c r="H799" s="128"/>
      <c r="I799" s="128"/>
    </row>
    <row r="800" spans="1:9" ht="18.75">
      <c r="A800" s="33"/>
      <c r="B800" s="100" t="s">
        <v>526</v>
      </c>
      <c r="C800" s="103" t="s">
        <v>527</v>
      </c>
      <c r="D800" s="22" t="s">
        <v>0</v>
      </c>
      <c r="E800" s="167">
        <v>2</v>
      </c>
      <c r="F800" s="24">
        <f>TRUNC(0.69,2)</f>
        <v>0.69</v>
      </c>
      <c r="G800" s="128">
        <f t="shared" si="44"/>
        <v>1.38</v>
      </c>
      <c r="H800" s="128"/>
      <c r="I800" s="128"/>
    </row>
    <row r="801" spans="1:9" ht="36">
      <c r="A801" s="33"/>
      <c r="B801" s="100" t="s">
        <v>539</v>
      </c>
      <c r="C801" s="103" t="s">
        <v>540</v>
      </c>
      <c r="D801" s="22" t="s">
        <v>0</v>
      </c>
      <c r="E801" s="167">
        <v>0.01</v>
      </c>
      <c r="F801" s="24">
        <f>TRUNC(256.11,2)</f>
        <v>256.11</v>
      </c>
      <c r="G801" s="128">
        <f t="shared" si="44"/>
        <v>2.56</v>
      </c>
      <c r="H801" s="128"/>
      <c r="I801" s="128"/>
    </row>
    <row r="802" spans="1:9" ht="18.75">
      <c r="A802" s="33"/>
      <c r="B802" s="100" t="s">
        <v>528</v>
      </c>
      <c r="C802" s="103" t="s">
        <v>529</v>
      </c>
      <c r="D802" s="22" t="s">
        <v>97</v>
      </c>
      <c r="E802" s="167">
        <v>0.04</v>
      </c>
      <c r="F802" s="24">
        <f>TRUNC(14.51,2)</f>
        <v>14.51</v>
      </c>
      <c r="G802" s="128">
        <f t="shared" si="44"/>
        <v>0.58</v>
      </c>
      <c r="H802" s="128"/>
      <c r="I802" s="128"/>
    </row>
    <row r="803" spans="1:9" ht="18.75">
      <c r="A803" s="33"/>
      <c r="B803" s="100" t="s">
        <v>535</v>
      </c>
      <c r="C803" s="103" t="s">
        <v>536</v>
      </c>
      <c r="D803" s="22" t="s">
        <v>0</v>
      </c>
      <c r="E803" s="167">
        <v>0.046</v>
      </c>
      <c r="F803" s="24">
        <f>TRUNC(89.64,2)</f>
        <v>89.64</v>
      </c>
      <c r="G803" s="128">
        <f t="shared" si="44"/>
        <v>4.12</v>
      </c>
      <c r="H803" s="128"/>
      <c r="I803" s="128"/>
    </row>
    <row r="804" spans="1:9" ht="36">
      <c r="A804" s="33"/>
      <c r="B804" s="100" t="s">
        <v>40</v>
      </c>
      <c r="C804" s="103" t="s">
        <v>41</v>
      </c>
      <c r="D804" s="22" t="s">
        <v>7</v>
      </c>
      <c r="E804" s="167">
        <v>0.48924999999999996</v>
      </c>
      <c r="F804" s="24">
        <f>TRUNC(13.08,2)</f>
        <v>13.08</v>
      </c>
      <c r="G804" s="128">
        <f t="shared" si="44"/>
        <v>6.39</v>
      </c>
      <c r="H804" s="128"/>
      <c r="I804" s="128"/>
    </row>
    <row r="805" spans="1:9" ht="18.75">
      <c r="A805" s="33"/>
      <c r="B805" s="100" t="s">
        <v>98</v>
      </c>
      <c r="C805" s="103" t="s">
        <v>532</v>
      </c>
      <c r="D805" s="22" t="s">
        <v>7</v>
      </c>
      <c r="E805" s="167">
        <v>0.9784999999999999</v>
      </c>
      <c r="F805" s="24">
        <f>TRUNC(18.05,2)</f>
        <v>18.05</v>
      </c>
      <c r="G805" s="128">
        <f t="shared" si="44"/>
        <v>17.66</v>
      </c>
      <c r="H805" s="128"/>
      <c r="I805" s="128"/>
    </row>
    <row r="806" spans="1:9" ht="18.75">
      <c r="A806" s="33"/>
      <c r="B806" s="100"/>
      <c r="C806" s="103"/>
      <c r="D806" s="22"/>
      <c r="E806" s="167" t="s">
        <v>5</v>
      </c>
      <c r="F806" s="24"/>
      <c r="G806" s="128">
        <f>TRUNC(SUM(G800:G805),2)</f>
        <v>32.69</v>
      </c>
      <c r="H806" s="128"/>
      <c r="I806" s="128"/>
    </row>
    <row r="807" spans="1:11" s="150" customFormat="1" ht="36">
      <c r="A807" s="211" t="s">
        <v>180</v>
      </c>
      <c r="B807" s="212" t="s">
        <v>533</v>
      </c>
      <c r="C807" s="217" t="s">
        <v>510</v>
      </c>
      <c r="D807" s="156" t="s">
        <v>106</v>
      </c>
      <c r="E807" s="214">
        <v>199.6</v>
      </c>
      <c r="F807" s="157">
        <f>TRUNC(F808,2)</f>
        <v>34.22</v>
      </c>
      <c r="G807" s="244">
        <f>TRUNC(F807*1.2882,2)</f>
        <v>44.08</v>
      </c>
      <c r="H807" s="244">
        <f>TRUNC(F807*E807,2)</f>
        <v>6830.31</v>
      </c>
      <c r="I807" s="244">
        <f>TRUNC(E807*G807,2)</f>
        <v>8798.36</v>
      </c>
      <c r="J807" s="149"/>
      <c r="K807" s="149"/>
    </row>
    <row r="808" spans="1:9" ht="90">
      <c r="A808" s="33"/>
      <c r="B808" s="100" t="s">
        <v>533</v>
      </c>
      <c r="C808" s="101" t="s">
        <v>534</v>
      </c>
      <c r="D808" s="22" t="s">
        <v>44</v>
      </c>
      <c r="E808" s="167">
        <v>1</v>
      </c>
      <c r="F808" s="24">
        <f>TRUNC(G815,2)</f>
        <v>34.22</v>
      </c>
      <c r="G808" s="239">
        <f aca="true" t="shared" si="45" ref="G808:G814">TRUNC(E808*F808,2)</f>
        <v>34.22</v>
      </c>
      <c r="H808" s="128"/>
      <c r="I808" s="128"/>
    </row>
    <row r="809" spans="1:9" ht="18.75">
      <c r="A809" s="33"/>
      <c r="B809" s="100" t="s">
        <v>526</v>
      </c>
      <c r="C809" s="101" t="s">
        <v>527</v>
      </c>
      <c r="D809" s="22" t="s">
        <v>0</v>
      </c>
      <c r="E809" s="167">
        <v>2</v>
      </c>
      <c r="F809" s="24">
        <f>TRUNC(0.69,2)</f>
        <v>0.69</v>
      </c>
      <c r="G809" s="128">
        <f t="shared" si="45"/>
        <v>1.38</v>
      </c>
      <c r="H809" s="128"/>
      <c r="I809" s="128"/>
    </row>
    <row r="810" spans="1:9" ht="18.75">
      <c r="A810" s="33"/>
      <c r="B810" s="100" t="s">
        <v>528</v>
      </c>
      <c r="C810" s="101" t="s">
        <v>529</v>
      </c>
      <c r="D810" s="22" t="s">
        <v>97</v>
      </c>
      <c r="E810" s="167">
        <v>0.04</v>
      </c>
      <c r="F810" s="24">
        <f>TRUNC(14.51,2)</f>
        <v>14.51</v>
      </c>
      <c r="G810" s="128">
        <f t="shared" si="45"/>
        <v>0.58</v>
      </c>
      <c r="H810" s="128"/>
      <c r="I810" s="128"/>
    </row>
    <row r="811" spans="1:9" ht="36">
      <c r="A811" s="33"/>
      <c r="B811" s="100" t="s">
        <v>530</v>
      </c>
      <c r="C811" s="101" t="s">
        <v>531</v>
      </c>
      <c r="D811" s="22" t="s">
        <v>0</v>
      </c>
      <c r="E811" s="167">
        <v>0.012</v>
      </c>
      <c r="F811" s="24">
        <f>TRUNC(341.42,2)</f>
        <v>341.42</v>
      </c>
      <c r="G811" s="128">
        <f t="shared" si="45"/>
        <v>4.09</v>
      </c>
      <c r="H811" s="128"/>
      <c r="I811" s="128"/>
    </row>
    <row r="812" spans="1:9" ht="18.75">
      <c r="A812" s="33"/>
      <c r="B812" s="100" t="s">
        <v>535</v>
      </c>
      <c r="C812" s="101" t="s">
        <v>536</v>
      </c>
      <c r="D812" s="22" t="s">
        <v>0</v>
      </c>
      <c r="E812" s="167">
        <v>0.046</v>
      </c>
      <c r="F812" s="24">
        <f>TRUNC(89.64,2)</f>
        <v>89.64</v>
      </c>
      <c r="G812" s="128">
        <f t="shared" si="45"/>
        <v>4.12</v>
      </c>
      <c r="H812" s="128"/>
      <c r="I812" s="128"/>
    </row>
    <row r="813" spans="1:9" ht="36">
      <c r="A813" s="33"/>
      <c r="B813" s="100" t="s">
        <v>40</v>
      </c>
      <c r="C813" s="101" t="s">
        <v>41</v>
      </c>
      <c r="D813" s="22" t="s">
        <v>7</v>
      </c>
      <c r="E813" s="167">
        <v>0.48924999999999996</v>
      </c>
      <c r="F813" s="24">
        <f>TRUNC(13.08,2)</f>
        <v>13.08</v>
      </c>
      <c r="G813" s="128">
        <f t="shared" si="45"/>
        <v>6.39</v>
      </c>
      <c r="H813" s="128"/>
      <c r="I813" s="128"/>
    </row>
    <row r="814" spans="1:9" ht="18.75">
      <c r="A814" s="33"/>
      <c r="B814" s="100" t="s">
        <v>98</v>
      </c>
      <c r="C814" s="101" t="s">
        <v>532</v>
      </c>
      <c r="D814" s="22" t="s">
        <v>7</v>
      </c>
      <c r="E814" s="167">
        <v>0.9784999999999999</v>
      </c>
      <c r="F814" s="24">
        <f>TRUNC(18.05,2)</f>
        <v>18.05</v>
      </c>
      <c r="G814" s="128">
        <f t="shared" si="45"/>
        <v>17.66</v>
      </c>
      <c r="H814" s="128"/>
      <c r="I814" s="128"/>
    </row>
    <row r="815" spans="1:9" ht="18.75">
      <c r="A815" s="33"/>
      <c r="B815" s="100"/>
      <c r="C815" s="101"/>
      <c r="D815" s="22"/>
      <c r="E815" s="167" t="s">
        <v>5</v>
      </c>
      <c r="F815" s="24"/>
      <c r="G815" s="128">
        <f>TRUNC(SUM(G809:G814),2)</f>
        <v>34.22</v>
      </c>
      <c r="H815" s="128"/>
      <c r="I815" s="128"/>
    </row>
    <row r="816" spans="1:11" s="150" customFormat="1" ht="36">
      <c r="A816" s="211" t="s">
        <v>181</v>
      </c>
      <c r="B816" s="236" t="s">
        <v>558</v>
      </c>
      <c r="C816" s="237" t="s">
        <v>791</v>
      </c>
      <c r="D816" s="156" t="s">
        <v>106</v>
      </c>
      <c r="E816" s="214">
        <v>44.73</v>
      </c>
      <c r="F816" s="157">
        <f>TRUNC((F817+F822),2)</f>
        <v>38.66</v>
      </c>
      <c r="G816" s="244">
        <f>TRUNC(F816*1.2882,2)</f>
        <v>49.8</v>
      </c>
      <c r="H816" s="244">
        <f>TRUNC(F816*E816,2)</f>
        <v>1729.26</v>
      </c>
      <c r="I816" s="244">
        <f>TRUNC(E816*G816,2)</f>
        <v>2227.55</v>
      </c>
      <c r="J816" s="149"/>
      <c r="K816" s="149"/>
    </row>
    <row r="817" spans="1:9" ht="72">
      <c r="A817" s="31"/>
      <c r="B817" s="98" t="s">
        <v>550</v>
      </c>
      <c r="C817" s="99" t="s">
        <v>942</v>
      </c>
      <c r="D817" s="18" t="s">
        <v>44</v>
      </c>
      <c r="E817" s="169">
        <v>1</v>
      </c>
      <c r="F817" s="19">
        <f>TRUNC(G821,2)</f>
        <v>6.06</v>
      </c>
      <c r="G817" s="239">
        <f>TRUNC(E817*F817,2)</f>
        <v>6.06</v>
      </c>
      <c r="H817" s="128"/>
      <c r="I817" s="128"/>
    </row>
    <row r="818" spans="1:9" ht="18.75">
      <c r="A818" s="33"/>
      <c r="B818" s="100" t="s">
        <v>548</v>
      </c>
      <c r="C818" s="101" t="s">
        <v>549</v>
      </c>
      <c r="D818" s="22" t="s">
        <v>97</v>
      </c>
      <c r="E818" s="167">
        <v>0.05</v>
      </c>
      <c r="F818" s="24">
        <f>TRUNC(57.05,2)</f>
        <v>57.05</v>
      </c>
      <c r="G818" s="128">
        <f>TRUNC(E818*F818,2)</f>
        <v>2.85</v>
      </c>
      <c r="H818" s="128"/>
      <c r="I818" s="128"/>
    </row>
    <row r="819" spans="1:9" ht="36">
      <c r="A819" s="33"/>
      <c r="B819" s="100" t="s">
        <v>40</v>
      </c>
      <c r="C819" s="101" t="s">
        <v>41</v>
      </c>
      <c r="D819" s="22" t="s">
        <v>7</v>
      </c>
      <c r="E819" s="167">
        <v>0.0618</v>
      </c>
      <c r="F819" s="24">
        <f>TRUNC(13.08,2)</f>
        <v>13.08</v>
      </c>
      <c r="G819" s="128">
        <f>TRUNC(E819*F819,2)</f>
        <v>0.8</v>
      </c>
      <c r="H819" s="128"/>
      <c r="I819" s="128"/>
    </row>
    <row r="820" spans="1:9" ht="18.75">
      <c r="A820" s="33"/>
      <c r="B820" s="100" t="s">
        <v>98</v>
      </c>
      <c r="C820" s="101" t="s">
        <v>532</v>
      </c>
      <c r="D820" s="22" t="s">
        <v>7</v>
      </c>
      <c r="E820" s="167">
        <v>0.13390000000000002</v>
      </c>
      <c r="F820" s="24">
        <f>TRUNC(18.05,2)</f>
        <v>18.05</v>
      </c>
      <c r="G820" s="128">
        <f>TRUNC(E820*F820,2)</f>
        <v>2.41</v>
      </c>
      <c r="H820" s="128"/>
      <c r="I820" s="128"/>
    </row>
    <row r="821" spans="1:9" ht="18.75">
      <c r="A821" s="33"/>
      <c r="B821" s="100"/>
      <c r="C821" s="101"/>
      <c r="D821" s="22"/>
      <c r="E821" s="167" t="s">
        <v>5</v>
      </c>
      <c r="F821" s="24"/>
      <c r="G821" s="128">
        <f>TRUNC(SUM(G818:G820),2)</f>
        <v>6.06</v>
      </c>
      <c r="H821" s="128"/>
      <c r="I821" s="128"/>
    </row>
    <row r="822" spans="1:9" ht="54">
      <c r="A822" s="33"/>
      <c r="B822" s="100" t="s">
        <v>551</v>
      </c>
      <c r="C822" s="101" t="s">
        <v>943</v>
      </c>
      <c r="D822" s="22" t="s">
        <v>44</v>
      </c>
      <c r="E822" s="167">
        <v>1</v>
      </c>
      <c r="F822" s="24">
        <f>TRUNC(G829,2)</f>
        <v>32.6</v>
      </c>
      <c r="G822" s="128">
        <f aca="true" t="shared" si="46" ref="G822:G828">TRUNC(E822*F822,2)</f>
        <v>32.6</v>
      </c>
      <c r="H822" s="128"/>
      <c r="I822" s="128"/>
    </row>
    <row r="823" spans="1:9" ht="18.75">
      <c r="A823" s="33"/>
      <c r="B823" s="100" t="s">
        <v>552</v>
      </c>
      <c r="C823" s="101" t="s">
        <v>553</v>
      </c>
      <c r="D823" s="22" t="s">
        <v>97</v>
      </c>
      <c r="E823" s="167">
        <v>0.04</v>
      </c>
      <c r="F823" s="24">
        <f>TRUNC(54.62,2)</f>
        <v>54.62</v>
      </c>
      <c r="G823" s="128">
        <f t="shared" si="46"/>
        <v>2.18</v>
      </c>
      <c r="H823" s="128"/>
      <c r="I823" s="128"/>
    </row>
    <row r="824" spans="1:9" ht="18.75">
      <c r="A824" s="33"/>
      <c r="B824" s="100" t="s">
        <v>554</v>
      </c>
      <c r="C824" s="101" t="s">
        <v>555</v>
      </c>
      <c r="D824" s="22" t="s">
        <v>97</v>
      </c>
      <c r="E824" s="167">
        <v>0.23</v>
      </c>
      <c r="F824" s="24">
        <f>TRUNC(35.28,2)</f>
        <v>35.28</v>
      </c>
      <c r="G824" s="128">
        <f t="shared" si="46"/>
        <v>8.11</v>
      </c>
      <c r="H824" s="128"/>
      <c r="I824" s="128"/>
    </row>
    <row r="825" spans="1:9" ht="18.75">
      <c r="A825" s="33"/>
      <c r="B825" s="100" t="s">
        <v>221</v>
      </c>
      <c r="C825" s="101" t="s">
        <v>308</v>
      </c>
      <c r="D825" s="22" t="s">
        <v>0</v>
      </c>
      <c r="E825" s="167">
        <v>1</v>
      </c>
      <c r="F825" s="24">
        <f>TRUNC(0.43,2)</f>
        <v>0.43</v>
      </c>
      <c r="G825" s="128">
        <f t="shared" si="46"/>
        <v>0.43</v>
      </c>
      <c r="H825" s="128"/>
      <c r="I825" s="128"/>
    </row>
    <row r="826" spans="1:9" ht="18.75">
      <c r="A826" s="33"/>
      <c r="B826" s="100" t="s">
        <v>556</v>
      </c>
      <c r="C826" s="101" t="s">
        <v>557</v>
      </c>
      <c r="D826" s="22" t="s">
        <v>97</v>
      </c>
      <c r="E826" s="167">
        <v>0.03</v>
      </c>
      <c r="F826" s="24">
        <f>TRUNC(54.62,2)</f>
        <v>54.62</v>
      </c>
      <c r="G826" s="128">
        <f t="shared" si="46"/>
        <v>1.63</v>
      </c>
      <c r="H826" s="128"/>
      <c r="I826" s="128"/>
    </row>
    <row r="827" spans="1:9" ht="36">
      <c r="A827" s="33"/>
      <c r="B827" s="100" t="s">
        <v>40</v>
      </c>
      <c r="C827" s="101" t="s">
        <v>41</v>
      </c>
      <c r="D827" s="22" t="s">
        <v>7</v>
      </c>
      <c r="E827" s="167">
        <v>0.41200000000000003</v>
      </c>
      <c r="F827" s="24">
        <f>TRUNC(13.08,2)</f>
        <v>13.08</v>
      </c>
      <c r="G827" s="128">
        <f t="shared" si="46"/>
        <v>5.38</v>
      </c>
      <c r="H827" s="128"/>
      <c r="I827" s="128"/>
    </row>
    <row r="828" spans="1:9" ht="18.75">
      <c r="A828" s="33"/>
      <c r="B828" s="100" t="s">
        <v>98</v>
      </c>
      <c r="C828" s="101" t="s">
        <v>532</v>
      </c>
      <c r="D828" s="22" t="s">
        <v>7</v>
      </c>
      <c r="E828" s="167">
        <v>0.8240000000000001</v>
      </c>
      <c r="F828" s="24">
        <f>TRUNC(18.05,2)</f>
        <v>18.05</v>
      </c>
      <c r="G828" s="128">
        <f t="shared" si="46"/>
        <v>14.87</v>
      </c>
      <c r="H828" s="128"/>
      <c r="I828" s="128"/>
    </row>
    <row r="829" spans="1:9" ht="18.75">
      <c r="A829" s="33"/>
      <c r="B829" s="100"/>
      <c r="C829" s="101"/>
      <c r="D829" s="22"/>
      <c r="E829" s="167" t="s">
        <v>5</v>
      </c>
      <c r="F829" s="24"/>
      <c r="G829" s="128">
        <f>TRUNC(SUM(G823:G828),2)</f>
        <v>32.6</v>
      </c>
      <c r="H829" s="128"/>
      <c r="I829" s="128"/>
    </row>
    <row r="830" spans="1:11" s="150" customFormat="1" ht="36">
      <c r="A830" s="211" t="s">
        <v>182</v>
      </c>
      <c r="B830" s="236" t="s">
        <v>559</v>
      </c>
      <c r="C830" s="237" t="s">
        <v>511</v>
      </c>
      <c r="D830" s="156" t="s">
        <v>106</v>
      </c>
      <c r="E830" s="214">
        <v>238.13</v>
      </c>
      <c r="F830" s="157">
        <f>TRUNC(F831,2)</f>
        <v>13.86</v>
      </c>
      <c r="G830" s="244">
        <f>TRUNC(F830*1.2882,2)</f>
        <v>17.85</v>
      </c>
      <c r="H830" s="244">
        <f>TRUNC(F830*E830,2)</f>
        <v>3300.48</v>
      </c>
      <c r="I830" s="244">
        <f>TRUNC(E830*G830,2)</f>
        <v>4250.62</v>
      </c>
      <c r="J830" s="149"/>
      <c r="K830" s="149"/>
    </row>
    <row r="831" spans="1:9" ht="90">
      <c r="A831" s="33"/>
      <c r="B831" s="100" t="s">
        <v>559</v>
      </c>
      <c r="C831" s="103" t="s">
        <v>560</v>
      </c>
      <c r="D831" s="22" t="s">
        <v>44</v>
      </c>
      <c r="E831" s="167">
        <v>1</v>
      </c>
      <c r="F831" s="24">
        <f>TRUNC(G837,2)</f>
        <v>13.86</v>
      </c>
      <c r="G831" s="239">
        <f aca="true" t="shared" si="47" ref="G831:G836">TRUNC(E831*F831,2)</f>
        <v>13.86</v>
      </c>
      <c r="H831" s="128"/>
      <c r="I831" s="128"/>
    </row>
    <row r="832" spans="1:9" ht="18.75">
      <c r="A832" s="33"/>
      <c r="B832" s="100" t="s">
        <v>526</v>
      </c>
      <c r="C832" s="103" t="s">
        <v>527</v>
      </c>
      <c r="D832" s="22" t="s">
        <v>0</v>
      </c>
      <c r="E832" s="167">
        <v>0.5</v>
      </c>
      <c r="F832" s="24">
        <f>TRUNC(0.69,2)</f>
        <v>0.69</v>
      </c>
      <c r="G832" s="128">
        <f t="shared" si="47"/>
        <v>0.34</v>
      </c>
      <c r="H832" s="128"/>
      <c r="I832" s="128"/>
    </row>
    <row r="833" spans="1:9" ht="18.75">
      <c r="A833" s="33"/>
      <c r="B833" s="100" t="s">
        <v>528</v>
      </c>
      <c r="C833" s="103" t="s">
        <v>529</v>
      </c>
      <c r="D833" s="22" t="s">
        <v>97</v>
      </c>
      <c r="E833" s="167">
        <v>0.04</v>
      </c>
      <c r="F833" s="24">
        <f>TRUNC(14.51,2)</f>
        <v>14.51</v>
      </c>
      <c r="G833" s="128">
        <f t="shared" si="47"/>
        <v>0.58</v>
      </c>
      <c r="H833" s="128"/>
      <c r="I833" s="128"/>
    </row>
    <row r="834" spans="1:9" ht="36">
      <c r="A834" s="33"/>
      <c r="B834" s="100" t="s">
        <v>530</v>
      </c>
      <c r="C834" s="103" t="s">
        <v>531</v>
      </c>
      <c r="D834" s="22" t="s">
        <v>0</v>
      </c>
      <c r="E834" s="167">
        <v>0.012</v>
      </c>
      <c r="F834" s="24">
        <f>TRUNC(341.42,2)</f>
        <v>341.42</v>
      </c>
      <c r="G834" s="128">
        <f t="shared" si="47"/>
        <v>4.09</v>
      </c>
      <c r="H834" s="128"/>
      <c r="I834" s="128"/>
    </row>
    <row r="835" spans="1:9" ht="36">
      <c r="A835" s="33"/>
      <c r="B835" s="100" t="s">
        <v>40</v>
      </c>
      <c r="C835" s="103" t="s">
        <v>41</v>
      </c>
      <c r="D835" s="22" t="s">
        <v>7</v>
      </c>
      <c r="E835" s="167">
        <v>0.18025</v>
      </c>
      <c r="F835" s="24">
        <f>TRUNC(13.08,2)</f>
        <v>13.08</v>
      </c>
      <c r="G835" s="128">
        <f t="shared" si="47"/>
        <v>2.35</v>
      </c>
      <c r="H835" s="128"/>
      <c r="I835" s="128"/>
    </row>
    <row r="836" spans="1:9" ht="18.75">
      <c r="A836" s="33"/>
      <c r="B836" s="100" t="s">
        <v>98</v>
      </c>
      <c r="C836" s="103" t="s">
        <v>532</v>
      </c>
      <c r="D836" s="22" t="s">
        <v>7</v>
      </c>
      <c r="E836" s="167">
        <v>0.3605</v>
      </c>
      <c r="F836" s="24">
        <f>TRUNC(18.05,2)</f>
        <v>18.05</v>
      </c>
      <c r="G836" s="128">
        <f t="shared" si="47"/>
        <v>6.5</v>
      </c>
      <c r="H836" s="128"/>
      <c r="I836" s="128"/>
    </row>
    <row r="837" spans="1:9" ht="18.75">
      <c r="A837" s="33"/>
      <c r="B837" s="100"/>
      <c r="C837" s="103"/>
      <c r="D837" s="22"/>
      <c r="E837" s="167" t="s">
        <v>5</v>
      </c>
      <c r="F837" s="24"/>
      <c r="G837" s="128">
        <f>TRUNC(SUM(G832:G836),2)</f>
        <v>13.86</v>
      </c>
      <c r="H837" s="128"/>
      <c r="I837" s="128"/>
    </row>
    <row r="838" spans="1:11" s="150" customFormat="1" ht="36">
      <c r="A838" s="211" t="s">
        <v>616</v>
      </c>
      <c r="B838" s="235" t="s">
        <v>617</v>
      </c>
      <c r="C838" s="237" t="s">
        <v>618</v>
      </c>
      <c r="D838" s="156" t="s">
        <v>44</v>
      </c>
      <c r="E838" s="214">
        <v>41.6</v>
      </c>
      <c r="F838" s="157">
        <f>TRUNC(F839,2)</f>
        <v>103.9</v>
      </c>
      <c r="G838" s="244">
        <f>TRUNC(F838*1.2882,2)</f>
        <v>133.84</v>
      </c>
      <c r="H838" s="244">
        <f>TRUNC(F838*E838,2)</f>
        <v>4322.24</v>
      </c>
      <c r="I838" s="244">
        <f>TRUNC(E838*G838,2)</f>
        <v>5567.74</v>
      </c>
      <c r="J838" s="149"/>
      <c r="K838" s="149"/>
    </row>
    <row r="839" spans="1:9" ht="54">
      <c r="A839" s="33"/>
      <c r="B839" s="100" t="s">
        <v>617</v>
      </c>
      <c r="C839" s="101" t="s">
        <v>944</v>
      </c>
      <c r="D839" s="22" t="s">
        <v>44</v>
      </c>
      <c r="E839" s="167">
        <v>1</v>
      </c>
      <c r="F839" s="24">
        <f>TRUNC(G844,2)</f>
        <v>103.9</v>
      </c>
      <c r="G839" s="239">
        <f>TRUNC(E839*F839,2)</f>
        <v>103.9</v>
      </c>
      <c r="H839" s="128"/>
      <c r="I839" s="128"/>
    </row>
    <row r="840" spans="1:9" ht="18.75">
      <c r="A840" s="33"/>
      <c r="B840" s="100" t="s">
        <v>619</v>
      </c>
      <c r="C840" s="101" t="s">
        <v>620</v>
      </c>
      <c r="D840" s="22" t="s">
        <v>46</v>
      </c>
      <c r="E840" s="167">
        <v>0.54</v>
      </c>
      <c r="F840" s="24">
        <f>TRUNC(171.39,2)</f>
        <v>171.39</v>
      </c>
      <c r="G840" s="128">
        <f>TRUNC(E840*F840,2)</f>
        <v>92.55</v>
      </c>
      <c r="H840" s="128"/>
      <c r="I840" s="128"/>
    </row>
    <row r="841" spans="1:9" ht="18.75">
      <c r="A841" s="33"/>
      <c r="B841" s="100" t="s">
        <v>221</v>
      </c>
      <c r="C841" s="101" t="s">
        <v>308</v>
      </c>
      <c r="D841" s="22" t="s">
        <v>0</v>
      </c>
      <c r="E841" s="167">
        <v>0.5</v>
      </c>
      <c r="F841" s="24">
        <f>TRUNC(0.43,2)</f>
        <v>0.43</v>
      </c>
      <c r="G841" s="128">
        <f>TRUNC(E841*F841,2)</f>
        <v>0.21</v>
      </c>
      <c r="H841" s="128"/>
      <c r="I841" s="128"/>
    </row>
    <row r="842" spans="1:9" ht="36">
      <c r="A842" s="33"/>
      <c r="B842" s="100" t="s">
        <v>40</v>
      </c>
      <c r="C842" s="101" t="s">
        <v>41</v>
      </c>
      <c r="D842" s="22" t="s">
        <v>7</v>
      </c>
      <c r="E842" s="167">
        <v>0.2266</v>
      </c>
      <c r="F842" s="24">
        <f>TRUNC(13.08,2)</f>
        <v>13.08</v>
      </c>
      <c r="G842" s="128">
        <f>TRUNC(E842*F842,2)</f>
        <v>2.96</v>
      </c>
      <c r="H842" s="128"/>
      <c r="I842" s="128"/>
    </row>
    <row r="843" spans="1:9" ht="18.75">
      <c r="A843" s="33"/>
      <c r="B843" s="100" t="s">
        <v>98</v>
      </c>
      <c r="C843" s="101" t="s">
        <v>532</v>
      </c>
      <c r="D843" s="22" t="s">
        <v>7</v>
      </c>
      <c r="E843" s="167">
        <v>0.4532</v>
      </c>
      <c r="F843" s="24">
        <f>TRUNC(18.05,2)</f>
        <v>18.05</v>
      </c>
      <c r="G843" s="128">
        <f>TRUNC(E843*F843,2)</f>
        <v>8.18</v>
      </c>
      <c r="H843" s="128"/>
      <c r="I843" s="128"/>
    </row>
    <row r="844" spans="1:9" ht="18.75">
      <c r="A844" s="33"/>
      <c r="B844" s="100"/>
      <c r="C844" s="101"/>
      <c r="D844" s="22"/>
      <c r="E844" s="167" t="s">
        <v>5</v>
      </c>
      <c r="F844" s="24"/>
      <c r="G844" s="128">
        <f>TRUNC(SUM(G840:G843),2)</f>
        <v>103.9</v>
      </c>
      <c r="H844" s="128"/>
      <c r="I844" s="128"/>
    </row>
    <row r="845" spans="1:11" s="150" customFormat="1" ht="54">
      <c r="A845" s="211" t="s">
        <v>792</v>
      </c>
      <c r="B845" s="235" t="s">
        <v>793</v>
      </c>
      <c r="C845" s="237" t="s">
        <v>794</v>
      </c>
      <c r="D845" s="156" t="s">
        <v>44</v>
      </c>
      <c r="E845" s="214">
        <v>46.22</v>
      </c>
      <c r="F845" s="157">
        <f>TRUNC(G852,2)</f>
        <v>14.73</v>
      </c>
      <c r="G845" s="244">
        <f>TRUNC(F845*1.2882,2)</f>
        <v>18.97</v>
      </c>
      <c r="H845" s="244">
        <f>TRUNC(F845*E845,2)</f>
        <v>680.82</v>
      </c>
      <c r="I845" s="244">
        <f>TRUNC(E845*G845,2)</f>
        <v>876.79</v>
      </c>
      <c r="J845" s="149"/>
      <c r="K845" s="149"/>
    </row>
    <row r="846" spans="1:12" ht="72">
      <c r="A846" s="33"/>
      <c r="B846" s="100" t="s">
        <v>793</v>
      </c>
      <c r="C846" s="103" t="s">
        <v>956</v>
      </c>
      <c r="D846" s="22" t="s">
        <v>44</v>
      </c>
      <c r="E846" s="167">
        <v>1</v>
      </c>
      <c r="F846" s="24">
        <f>TRUNC(14.748926,2)</f>
        <v>14.74</v>
      </c>
      <c r="G846" s="239">
        <f aca="true" t="shared" si="48" ref="G846:G851">TRUNC(E846*F846,2)</f>
        <v>14.74</v>
      </c>
      <c r="H846" s="128"/>
      <c r="I846" s="128"/>
      <c r="L846" s="73"/>
    </row>
    <row r="847" spans="1:12" ht="18.75">
      <c r="A847" s="33"/>
      <c r="B847" s="100" t="s">
        <v>795</v>
      </c>
      <c r="C847" s="103" t="s">
        <v>796</v>
      </c>
      <c r="D847" s="22" t="s">
        <v>97</v>
      </c>
      <c r="E847" s="167">
        <v>0.03</v>
      </c>
      <c r="F847" s="24">
        <f>TRUNC(63.73,2)</f>
        <v>63.73</v>
      </c>
      <c r="G847" s="128">
        <f t="shared" si="48"/>
        <v>1.91</v>
      </c>
      <c r="H847" s="128"/>
      <c r="I847" s="128"/>
      <c r="L847" s="73"/>
    </row>
    <row r="848" spans="1:12" ht="18.75">
      <c r="A848" s="33"/>
      <c r="B848" s="100" t="s">
        <v>717</v>
      </c>
      <c r="C848" s="103" t="s">
        <v>718</v>
      </c>
      <c r="D848" s="22" t="s">
        <v>0</v>
      </c>
      <c r="E848" s="167">
        <v>0.5</v>
      </c>
      <c r="F848" s="24">
        <f>TRUNC(0.72,2)</f>
        <v>0.72</v>
      </c>
      <c r="G848" s="128">
        <f t="shared" si="48"/>
        <v>0.36</v>
      </c>
      <c r="H848" s="128"/>
      <c r="I848" s="128"/>
      <c r="L848" s="73"/>
    </row>
    <row r="849" spans="1:12" ht="18.75">
      <c r="A849" s="33"/>
      <c r="B849" s="100" t="s">
        <v>548</v>
      </c>
      <c r="C849" s="103" t="s">
        <v>549</v>
      </c>
      <c r="D849" s="22" t="s">
        <v>97</v>
      </c>
      <c r="E849" s="167">
        <v>0.05</v>
      </c>
      <c r="F849" s="24">
        <f>TRUNC(57.05,2)</f>
        <v>57.05</v>
      </c>
      <c r="G849" s="128">
        <f t="shared" si="48"/>
        <v>2.85</v>
      </c>
      <c r="H849" s="128"/>
      <c r="I849" s="128"/>
      <c r="L849" s="73"/>
    </row>
    <row r="850" spans="1:12" ht="36">
      <c r="A850" s="33"/>
      <c r="B850" s="100" t="s">
        <v>40</v>
      </c>
      <c r="C850" s="103" t="s">
        <v>41</v>
      </c>
      <c r="D850" s="22" t="s">
        <v>7</v>
      </c>
      <c r="E850" s="167">
        <v>0.1957</v>
      </c>
      <c r="F850" s="24">
        <f>TRUNC(13.08,2)</f>
        <v>13.08</v>
      </c>
      <c r="G850" s="128">
        <f t="shared" si="48"/>
        <v>2.55</v>
      </c>
      <c r="H850" s="128"/>
      <c r="I850" s="128"/>
      <c r="L850" s="73"/>
    </row>
    <row r="851" spans="1:12" ht="18.75">
      <c r="A851" s="33"/>
      <c r="B851" s="100" t="s">
        <v>98</v>
      </c>
      <c r="C851" s="103" t="s">
        <v>532</v>
      </c>
      <c r="D851" s="22" t="s">
        <v>7</v>
      </c>
      <c r="E851" s="167">
        <v>0.3914</v>
      </c>
      <c r="F851" s="24">
        <f>TRUNC(18.05,2)</f>
        <v>18.05</v>
      </c>
      <c r="G851" s="128">
        <f t="shared" si="48"/>
        <v>7.06</v>
      </c>
      <c r="H851" s="128"/>
      <c r="I851" s="128"/>
      <c r="L851" s="73"/>
    </row>
    <row r="852" spans="1:12" ht="18.75">
      <c r="A852" s="33"/>
      <c r="B852" s="100"/>
      <c r="C852" s="103"/>
      <c r="D852" s="22"/>
      <c r="E852" s="167" t="s">
        <v>5</v>
      </c>
      <c r="F852" s="24"/>
      <c r="G852" s="128">
        <f>TRUNC(SUM(G847:G851),2)</f>
        <v>14.73</v>
      </c>
      <c r="H852" s="128"/>
      <c r="I852" s="128"/>
      <c r="L852" s="73"/>
    </row>
    <row r="853" spans="1:11" ht="18.75">
      <c r="A853" s="29" t="s">
        <v>130</v>
      </c>
      <c r="B853" s="293"/>
      <c r="C853" s="294"/>
      <c r="D853" s="295"/>
      <c r="E853" s="298" t="s">
        <v>183</v>
      </c>
      <c r="F853" s="299"/>
      <c r="G853" s="300"/>
      <c r="H853" s="38">
        <f>H777+H785+H798+H807+H816+H830+H838+H845</f>
        <v>24960.6</v>
      </c>
      <c r="I853" s="38">
        <f>I777+I785+I798+I807+I816+I830+I838+I845</f>
        <v>32151.97</v>
      </c>
      <c r="K853" s="63"/>
    </row>
    <row r="854" spans="1:11" s="152" customFormat="1" ht="19.5" thickBot="1">
      <c r="A854" s="273" t="s">
        <v>184</v>
      </c>
      <c r="B854" s="274"/>
      <c r="C854" s="275" t="s">
        <v>959</v>
      </c>
      <c r="D854" s="276"/>
      <c r="E854" s="277"/>
      <c r="F854" s="279"/>
      <c r="G854" s="278"/>
      <c r="H854" s="278"/>
      <c r="I854" s="272"/>
      <c r="J854" s="151"/>
      <c r="K854" s="151"/>
    </row>
    <row r="855" spans="1:11" s="150" customFormat="1" ht="54.75" thickBot="1">
      <c r="A855" s="223" t="s">
        <v>185</v>
      </c>
      <c r="B855" s="224" t="s">
        <v>63</v>
      </c>
      <c r="C855" s="238" t="s">
        <v>67</v>
      </c>
      <c r="D855" s="225" t="s">
        <v>45</v>
      </c>
      <c r="E855" s="226">
        <v>53.68</v>
      </c>
      <c r="F855" s="227">
        <f>TRUNC(F856,2)</f>
        <v>0.98</v>
      </c>
      <c r="G855" s="244">
        <f>TRUNC(F855*1.2882,2)</f>
        <v>1.26</v>
      </c>
      <c r="H855" s="244">
        <f>TRUNC(F855*E855,2)</f>
        <v>52.6</v>
      </c>
      <c r="I855" s="244">
        <f>TRUNC(E855*G855,2)</f>
        <v>67.63</v>
      </c>
      <c r="J855" s="149"/>
      <c r="K855" s="149"/>
    </row>
    <row r="856" spans="1:9" ht="72">
      <c r="A856" s="31"/>
      <c r="B856" s="98" t="s">
        <v>63</v>
      </c>
      <c r="C856" s="105" t="s">
        <v>945</v>
      </c>
      <c r="D856" s="18" t="s">
        <v>45</v>
      </c>
      <c r="E856" s="169">
        <v>1</v>
      </c>
      <c r="F856" s="19">
        <f>TRUNC(G859,2)</f>
        <v>0.98</v>
      </c>
      <c r="G856" s="239">
        <f>TRUNC(E856*F856,2)</f>
        <v>0.98</v>
      </c>
      <c r="H856" s="128"/>
      <c r="I856" s="128"/>
    </row>
    <row r="857" spans="1:9" ht="18.75">
      <c r="A857" s="33"/>
      <c r="B857" s="100" t="s">
        <v>48</v>
      </c>
      <c r="C857" s="101" t="s">
        <v>946</v>
      </c>
      <c r="D857" s="22" t="s">
        <v>7</v>
      </c>
      <c r="E857" s="167">
        <v>0.008</v>
      </c>
      <c r="F857" s="24">
        <f>TRUNC(44.1465,2)</f>
        <v>44.14</v>
      </c>
      <c r="G857" s="128">
        <f>TRUNC(E857*F857,2)</f>
        <v>0.35</v>
      </c>
      <c r="H857" s="128"/>
      <c r="I857" s="128"/>
    </row>
    <row r="858" spans="1:9" ht="18.75">
      <c r="A858" s="33"/>
      <c r="B858" s="100" t="s">
        <v>47</v>
      </c>
      <c r="C858" s="101" t="s">
        <v>947</v>
      </c>
      <c r="D858" s="22" t="s">
        <v>7</v>
      </c>
      <c r="E858" s="167">
        <v>0.005</v>
      </c>
      <c r="F858" s="24">
        <f>TRUNC(126.8052,2)</f>
        <v>126.8</v>
      </c>
      <c r="G858" s="128">
        <f>TRUNC(E858*F858,2)</f>
        <v>0.63</v>
      </c>
      <c r="H858" s="128"/>
      <c r="I858" s="128"/>
    </row>
    <row r="859" spans="1:9" ht="18.75">
      <c r="A859" s="33"/>
      <c r="B859" s="100"/>
      <c r="C859" s="101"/>
      <c r="D859" s="22"/>
      <c r="E859" s="167" t="s">
        <v>5</v>
      </c>
      <c r="F859" s="24"/>
      <c r="G859" s="128">
        <f>TRUNC(SUM(G857:G858),2)</f>
        <v>0.98</v>
      </c>
      <c r="H859" s="128"/>
      <c r="I859" s="128"/>
    </row>
    <row r="860" spans="1:11" s="150" customFormat="1" ht="54">
      <c r="A860" s="223" t="s">
        <v>186</v>
      </c>
      <c r="B860" s="224" t="s">
        <v>61</v>
      </c>
      <c r="C860" s="238" t="s">
        <v>469</v>
      </c>
      <c r="D860" s="225" t="s">
        <v>49</v>
      </c>
      <c r="E860" s="226">
        <v>912.56</v>
      </c>
      <c r="F860" s="227">
        <f>TRUNC(F861,2)</f>
        <v>1.05</v>
      </c>
      <c r="G860" s="244">
        <f>TRUNC(F860*1.2882,2)</f>
        <v>1.35</v>
      </c>
      <c r="H860" s="244">
        <f>TRUNC(F860*E860,2)</f>
        <v>958.18</v>
      </c>
      <c r="I860" s="244">
        <f>TRUNC(E860*G860,2)</f>
        <v>1231.95</v>
      </c>
      <c r="J860" s="149"/>
      <c r="K860" s="149"/>
    </row>
    <row r="861" spans="1:9" ht="72">
      <c r="A861" s="33"/>
      <c r="B861" s="100" t="s">
        <v>61</v>
      </c>
      <c r="C861" s="101" t="s">
        <v>948</v>
      </c>
      <c r="D861" s="22" t="s">
        <v>49</v>
      </c>
      <c r="E861" s="167">
        <v>1</v>
      </c>
      <c r="F861" s="24">
        <f>TRUNC(1.05248316,2)</f>
        <v>1.05</v>
      </c>
      <c r="G861" s="239">
        <f>TRUNC(E861*F861,2)</f>
        <v>1.05</v>
      </c>
      <c r="H861" s="128"/>
      <c r="I861" s="128"/>
    </row>
    <row r="862" spans="1:9" ht="18.75">
      <c r="A862" s="33"/>
      <c r="B862" s="100" t="s">
        <v>47</v>
      </c>
      <c r="C862" s="101" t="s">
        <v>947</v>
      </c>
      <c r="D862" s="22" t="s">
        <v>7</v>
      </c>
      <c r="E862" s="167">
        <v>0.0083</v>
      </c>
      <c r="F862" s="24">
        <f>TRUNC(126.8052,2)</f>
        <v>126.8</v>
      </c>
      <c r="G862" s="128">
        <f>TRUNC(E862*F862,2)</f>
        <v>1.05</v>
      </c>
      <c r="H862" s="128"/>
      <c r="I862" s="128"/>
    </row>
    <row r="863" spans="1:9" ht="18.75">
      <c r="A863" s="33"/>
      <c r="B863" s="100"/>
      <c r="C863" s="101"/>
      <c r="D863" s="22"/>
      <c r="E863" s="167" t="s">
        <v>5</v>
      </c>
      <c r="F863" s="24"/>
      <c r="G863" s="128">
        <f>TRUNC(SUM(G862:G862),2)</f>
        <v>1.05</v>
      </c>
      <c r="H863" s="128"/>
      <c r="I863" s="128"/>
    </row>
    <row r="864" spans="1:11" s="150" customFormat="1" ht="36">
      <c r="A864" s="223" t="s">
        <v>187</v>
      </c>
      <c r="B864" s="224" t="s">
        <v>157</v>
      </c>
      <c r="C864" s="238" t="s">
        <v>68</v>
      </c>
      <c r="D864" s="225" t="s">
        <v>156</v>
      </c>
      <c r="E864" s="226">
        <v>53.68</v>
      </c>
      <c r="F864" s="227">
        <f>TRUNC(F865,2)</f>
        <v>30</v>
      </c>
      <c r="G864" s="244">
        <f>TRUNC(F864*1.2882,2)</f>
        <v>38.64</v>
      </c>
      <c r="H864" s="244">
        <f>TRUNC(F864*E864,2)</f>
        <v>1610.4</v>
      </c>
      <c r="I864" s="244">
        <f>TRUNC(E864*G864,2)</f>
        <v>2074.19</v>
      </c>
      <c r="J864" s="149"/>
      <c r="K864" s="149"/>
    </row>
    <row r="865" spans="1:9" ht="36">
      <c r="A865" s="31"/>
      <c r="B865" s="98" t="s">
        <v>62</v>
      </c>
      <c r="C865" s="103" t="s">
        <v>64</v>
      </c>
      <c r="D865" s="18" t="s">
        <v>156</v>
      </c>
      <c r="E865" s="169">
        <v>1</v>
      </c>
      <c r="F865" s="19">
        <f>G867</f>
        <v>30</v>
      </c>
      <c r="G865" s="239">
        <f>E865*F865</f>
        <v>30</v>
      </c>
      <c r="H865" s="128"/>
      <c r="I865" s="128"/>
    </row>
    <row r="866" spans="1:9" ht="18.75">
      <c r="A866" s="33"/>
      <c r="B866" s="100" t="s">
        <v>103</v>
      </c>
      <c r="C866" s="103" t="s">
        <v>65</v>
      </c>
      <c r="D866" s="22" t="s">
        <v>156</v>
      </c>
      <c r="E866" s="167">
        <v>1</v>
      </c>
      <c r="F866" s="24">
        <v>30</v>
      </c>
      <c r="G866" s="128">
        <f>E866*F866</f>
        <v>30</v>
      </c>
      <c r="H866" s="128"/>
      <c r="I866" s="128"/>
    </row>
    <row r="867" spans="1:10" ht="23.25">
      <c r="A867" s="33"/>
      <c r="B867" s="100"/>
      <c r="C867" s="101"/>
      <c r="D867" s="22"/>
      <c r="E867" s="167" t="s">
        <v>5</v>
      </c>
      <c r="F867" s="24"/>
      <c r="G867" s="240">
        <f>SUM(G866:G866)</f>
        <v>30</v>
      </c>
      <c r="H867" s="128"/>
      <c r="I867" s="128"/>
      <c r="J867" s="77"/>
    </row>
    <row r="868" spans="1:11" s="150" customFormat="1" ht="18.75">
      <c r="A868" s="211" t="s">
        <v>188</v>
      </c>
      <c r="B868" s="235" t="s">
        <v>515</v>
      </c>
      <c r="C868" s="237" t="s">
        <v>512</v>
      </c>
      <c r="D868" s="156" t="s">
        <v>156</v>
      </c>
      <c r="E868" s="214">
        <v>15</v>
      </c>
      <c r="F868" s="157">
        <f>TRUNC(F869,2)</f>
        <v>71.12</v>
      </c>
      <c r="G868" s="244">
        <f>TRUNC(F868*1.2882,2)</f>
        <v>91.61</v>
      </c>
      <c r="H868" s="244">
        <f>TRUNC(F868*E868,2)</f>
        <v>1066.8</v>
      </c>
      <c r="I868" s="244">
        <f>TRUNC(E868*G868,2)</f>
        <v>1374.15</v>
      </c>
      <c r="J868" s="149"/>
      <c r="K868" s="149"/>
    </row>
    <row r="869" spans="1:9" ht="72">
      <c r="A869" s="33"/>
      <c r="B869" s="100" t="s">
        <v>515</v>
      </c>
      <c r="C869" s="101" t="s">
        <v>957</v>
      </c>
      <c r="D869" s="22" t="s">
        <v>45</v>
      </c>
      <c r="E869" s="167">
        <v>1</v>
      </c>
      <c r="F869" s="24">
        <f>TRUNC(71.12,2)</f>
        <v>71.12</v>
      </c>
      <c r="G869" s="239">
        <f>TRUNC(E869*F869,2)</f>
        <v>71.12</v>
      </c>
      <c r="H869" s="128"/>
      <c r="I869" s="128"/>
    </row>
    <row r="870" spans="1:9" ht="36">
      <c r="A870" s="33"/>
      <c r="B870" s="100" t="s">
        <v>40</v>
      </c>
      <c r="C870" s="101" t="s">
        <v>41</v>
      </c>
      <c r="D870" s="22" t="s">
        <v>7</v>
      </c>
      <c r="E870" s="167">
        <v>3.09</v>
      </c>
      <c r="F870" s="24">
        <f>TRUNC(13.08,2)</f>
        <v>13.08</v>
      </c>
      <c r="G870" s="128">
        <f>TRUNC(E870*F870,2)</f>
        <v>40.41</v>
      </c>
      <c r="H870" s="128"/>
      <c r="I870" s="128"/>
    </row>
    <row r="871" spans="1:9" ht="18.75">
      <c r="A871" s="33"/>
      <c r="B871" s="100" t="s">
        <v>516</v>
      </c>
      <c r="C871" s="101" t="s">
        <v>517</v>
      </c>
      <c r="D871" s="22" t="s">
        <v>7</v>
      </c>
      <c r="E871" s="167">
        <v>0.75</v>
      </c>
      <c r="F871" s="24">
        <f>TRUNC(40.3365,2)</f>
        <v>40.33</v>
      </c>
      <c r="G871" s="128">
        <f>TRUNC(E871*F871,2)</f>
        <v>30.24</v>
      </c>
      <c r="H871" s="128"/>
      <c r="I871" s="128"/>
    </row>
    <row r="872" spans="1:9" ht="18.75">
      <c r="A872" s="33"/>
      <c r="B872" s="100" t="s">
        <v>518</v>
      </c>
      <c r="C872" s="101" t="s">
        <v>519</v>
      </c>
      <c r="D872" s="22" t="s">
        <v>7</v>
      </c>
      <c r="E872" s="167">
        <v>0.004</v>
      </c>
      <c r="F872" s="24">
        <f>TRUNC(116.8416,2)</f>
        <v>116.84</v>
      </c>
      <c r="G872" s="128">
        <f>TRUNC(E872*F872,2)</f>
        <v>0.46</v>
      </c>
      <c r="H872" s="128"/>
      <c r="I872" s="128"/>
    </row>
    <row r="873" spans="1:9" ht="18.75">
      <c r="A873" s="33"/>
      <c r="B873" s="100"/>
      <c r="C873" s="101"/>
      <c r="D873" s="22"/>
      <c r="E873" s="167" t="s">
        <v>5</v>
      </c>
      <c r="F873" s="24"/>
      <c r="G873" s="128">
        <v>71.12</v>
      </c>
      <c r="H873" s="128"/>
      <c r="I873" s="128"/>
    </row>
    <row r="874" spans="1:11" s="150" customFormat="1" ht="36">
      <c r="A874" s="211" t="s">
        <v>189</v>
      </c>
      <c r="B874" s="235" t="s">
        <v>520</v>
      </c>
      <c r="C874" s="237" t="s">
        <v>513</v>
      </c>
      <c r="D874" s="156" t="s">
        <v>514</v>
      </c>
      <c r="E874" s="214">
        <v>90</v>
      </c>
      <c r="F874" s="157">
        <f>TRUNC(F875,2)</f>
        <v>1.03</v>
      </c>
      <c r="G874" s="244">
        <f>TRUNC(F874*1.2882,2)</f>
        <v>1.32</v>
      </c>
      <c r="H874" s="244">
        <f>TRUNC(F874*E874,2)</f>
        <v>92.7</v>
      </c>
      <c r="I874" s="244">
        <f>TRUNC(E874*G874,2)</f>
        <v>118.8</v>
      </c>
      <c r="J874" s="149"/>
      <c r="K874" s="149"/>
    </row>
    <row r="875" spans="1:12" ht="72">
      <c r="A875" s="31"/>
      <c r="B875" s="98" t="s">
        <v>520</v>
      </c>
      <c r="C875" s="99" t="s">
        <v>949</v>
      </c>
      <c r="D875" s="18" t="s">
        <v>49</v>
      </c>
      <c r="E875" s="169">
        <v>1</v>
      </c>
      <c r="F875" s="19">
        <f>TRUNC(G877,2)</f>
        <v>1.03</v>
      </c>
      <c r="G875" s="239">
        <f>TRUNC(E875*F875,2)</f>
        <v>1.03</v>
      </c>
      <c r="H875" s="128"/>
      <c r="I875" s="128"/>
      <c r="L875" s="73"/>
    </row>
    <row r="876" spans="1:12" ht="18.75">
      <c r="A876" s="33"/>
      <c r="B876" s="100" t="s">
        <v>518</v>
      </c>
      <c r="C876" s="101" t="s">
        <v>519</v>
      </c>
      <c r="D876" s="22" t="s">
        <v>7</v>
      </c>
      <c r="E876" s="167">
        <v>0.0089</v>
      </c>
      <c r="F876" s="24">
        <f>TRUNC(116.8416,2)</f>
        <v>116.84</v>
      </c>
      <c r="G876" s="128">
        <f>TRUNC(E876*F876,2)</f>
        <v>1.03</v>
      </c>
      <c r="H876" s="128"/>
      <c r="I876" s="128"/>
      <c r="L876" s="73"/>
    </row>
    <row r="877" spans="1:12" ht="18.75">
      <c r="A877" s="33"/>
      <c r="B877" s="100"/>
      <c r="C877" s="101"/>
      <c r="D877" s="22"/>
      <c r="E877" s="167" t="s">
        <v>5</v>
      </c>
      <c r="F877" s="24"/>
      <c r="G877" s="128">
        <f>TRUNC(SUM(G876:G876),2)</f>
        <v>1.03</v>
      </c>
      <c r="H877" s="128"/>
      <c r="I877" s="128"/>
      <c r="L877" s="73"/>
    </row>
    <row r="878" spans="1:11" ht="18.75">
      <c r="A878" s="29" t="s">
        <v>130</v>
      </c>
      <c r="B878" s="297"/>
      <c r="C878" s="297"/>
      <c r="D878" s="297"/>
      <c r="E878" s="296" t="s">
        <v>190</v>
      </c>
      <c r="F878" s="296"/>
      <c r="G878" s="296"/>
      <c r="H878" s="38">
        <f>H855+H860+H864+H868+H874</f>
        <v>3780.6800000000003</v>
      </c>
      <c r="I878" s="38">
        <f>I855+I860+I864+I868+I874</f>
        <v>4866.72</v>
      </c>
      <c r="K878" s="63"/>
    </row>
    <row r="879" spans="1:11" s="152" customFormat="1" ht="19.5" thickBot="1">
      <c r="A879" s="273" t="s">
        <v>191</v>
      </c>
      <c r="B879" s="274"/>
      <c r="C879" s="280" t="s">
        <v>521</v>
      </c>
      <c r="D879" s="276"/>
      <c r="E879" s="277"/>
      <c r="F879" s="279"/>
      <c r="G879" s="278"/>
      <c r="H879" s="278"/>
      <c r="I879" s="272"/>
      <c r="J879" s="151"/>
      <c r="K879" s="151"/>
    </row>
    <row r="880" spans="1:11" s="150" customFormat="1" ht="19.5" thickBot="1">
      <c r="A880" s="211" t="s">
        <v>193</v>
      </c>
      <c r="B880" s="235" t="s">
        <v>561</v>
      </c>
      <c r="C880" s="237" t="s">
        <v>522</v>
      </c>
      <c r="D880" s="156" t="s">
        <v>135</v>
      </c>
      <c r="E880" s="214">
        <v>2</v>
      </c>
      <c r="F880" s="157">
        <f>TRUNC(G884,2)</f>
        <v>183.96</v>
      </c>
      <c r="G880" s="244">
        <f>TRUNC(F880*1.2882,2)</f>
        <v>236.97</v>
      </c>
      <c r="H880" s="244">
        <f>TRUNC(F880*E880,2)</f>
        <v>367.92</v>
      </c>
      <c r="I880" s="244">
        <f>TRUNC(E880*G880,2)</f>
        <v>473.94</v>
      </c>
      <c r="J880" s="149"/>
      <c r="K880" s="149"/>
    </row>
    <row r="881" spans="1:9" ht="36">
      <c r="A881" s="31"/>
      <c r="B881" s="98" t="s">
        <v>561</v>
      </c>
      <c r="C881" s="105" t="s">
        <v>856</v>
      </c>
      <c r="D881" s="18" t="s">
        <v>39</v>
      </c>
      <c r="E881" s="169">
        <v>1</v>
      </c>
      <c r="F881" s="19">
        <f>TRUNC(G884,2)</f>
        <v>183.96</v>
      </c>
      <c r="G881" s="239">
        <f>TRUNC(E881*F881,2)</f>
        <v>183.96</v>
      </c>
      <c r="H881" s="128"/>
      <c r="I881" s="128"/>
    </row>
    <row r="882" spans="1:9" ht="36">
      <c r="A882" s="33"/>
      <c r="B882" s="100" t="s">
        <v>40</v>
      </c>
      <c r="C882" s="101" t="s">
        <v>41</v>
      </c>
      <c r="D882" s="22" t="s">
        <v>7</v>
      </c>
      <c r="E882" s="167">
        <v>12.36</v>
      </c>
      <c r="F882" s="24">
        <f>TRUNC(13.08,2)</f>
        <v>13.08</v>
      </c>
      <c r="G882" s="128">
        <f>TRUNC(E882*F882,2)</f>
        <v>161.66</v>
      </c>
      <c r="H882" s="128"/>
      <c r="I882" s="128"/>
    </row>
    <row r="883" spans="1:9" ht="18.75">
      <c r="A883" s="33"/>
      <c r="B883" s="100" t="s">
        <v>43</v>
      </c>
      <c r="C883" s="101" t="s">
        <v>100</v>
      </c>
      <c r="D883" s="22" t="s">
        <v>7</v>
      </c>
      <c r="E883" s="167">
        <v>1.236</v>
      </c>
      <c r="F883" s="24">
        <f>TRUNC(18.05,2)</f>
        <v>18.05</v>
      </c>
      <c r="G883" s="128">
        <f>TRUNC(E883*F883,2)</f>
        <v>22.3</v>
      </c>
      <c r="H883" s="128"/>
      <c r="I883" s="128"/>
    </row>
    <row r="884" spans="1:9" ht="18.75">
      <c r="A884" s="33"/>
      <c r="B884" s="100"/>
      <c r="C884" s="101"/>
      <c r="D884" s="22"/>
      <c r="E884" s="167" t="s">
        <v>5</v>
      </c>
      <c r="F884" s="24"/>
      <c r="G884" s="128">
        <f>TRUNC(SUM(G882:G883),2)</f>
        <v>183.96</v>
      </c>
      <c r="H884" s="128"/>
      <c r="I884" s="128"/>
    </row>
    <row r="885" spans="1:11" s="150" customFormat="1" ht="36">
      <c r="A885" s="211" t="s">
        <v>194</v>
      </c>
      <c r="B885" s="235" t="s">
        <v>562</v>
      </c>
      <c r="C885" s="237" t="s">
        <v>350</v>
      </c>
      <c r="D885" s="156" t="s">
        <v>135</v>
      </c>
      <c r="E885" s="214">
        <v>1.24</v>
      </c>
      <c r="F885" s="157">
        <f>TRUNC((F886+F889),2)</f>
        <v>83.57</v>
      </c>
      <c r="G885" s="244">
        <f>TRUNC(F885*1.2882,2)</f>
        <v>107.65</v>
      </c>
      <c r="H885" s="244">
        <f>TRUNC(F885*E885,2)</f>
        <v>103.62</v>
      </c>
      <c r="I885" s="244">
        <f>TRUNC(E885*G885,2)</f>
        <v>133.48</v>
      </c>
      <c r="J885" s="149"/>
      <c r="K885" s="149"/>
    </row>
    <row r="886" spans="1:9" ht="72">
      <c r="A886" s="20"/>
      <c r="B886" s="21" t="s">
        <v>349</v>
      </c>
      <c r="C886" s="101" t="s">
        <v>950</v>
      </c>
      <c r="D886" s="22" t="s">
        <v>39</v>
      </c>
      <c r="E886" s="164">
        <v>1</v>
      </c>
      <c r="F886" s="24">
        <f>TRUNC(G888,2)</f>
        <v>60.62</v>
      </c>
      <c r="G886" s="239">
        <f>TRUNC(E886*F886,2)</f>
        <v>60.62</v>
      </c>
      <c r="H886" s="128"/>
      <c r="I886" s="128"/>
    </row>
    <row r="887" spans="1:9" ht="36">
      <c r="A887" s="20"/>
      <c r="B887" s="21" t="s">
        <v>40</v>
      </c>
      <c r="C887" s="101" t="s">
        <v>41</v>
      </c>
      <c r="D887" s="22" t="s">
        <v>7</v>
      </c>
      <c r="E887" s="164">
        <v>4.635</v>
      </c>
      <c r="F887" s="24">
        <f>TRUNC(13.08,2)</f>
        <v>13.08</v>
      </c>
      <c r="G887" s="128">
        <f>TRUNC(E887*F887,2)</f>
        <v>60.62</v>
      </c>
      <c r="H887" s="128"/>
      <c r="I887" s="128"/>
    </row>
    <row r="888" spans="1:9" ht="18.75">
      <c r="A888" s="20"/>
      <c r="B888" s="21"/>
      <c r="C888" s="101"/>
      <c r="D888" s="22"/>
      <c r="E888" s="164" t="s">
        <v>5</v>
      </c>
      <c r="F888" s="24"/>
      <c r="G888" s="128">
        <f>TRUNC(SUM(G887:G887),2)</f>
        <v>60.62</v>
      </c>
      <c r="H888" s="128"/>
      <c r="I888" s="128"/>
    </row>
    <row r="889" spans="1:9" ht="72">
      <c r="A889" s="20"/>
      <c r="B889" s="21" t="s">
        <v>351</v>
      </c>
      <c r="C889" s="101" t="s">
        <v>951</v>
      </c>
      <c r="D889" s="22" t="s">
        <v>39</v>
      </c>
      <c r="E889" s="164">
        <v>1</v>
      </c>
      <c r="F889" s="24">
        <f>TRUNC(G895,2)</f>
        <v>22.95</v>
      </c>
      <c r="G889" s="128">
        <f aca="true" t="shared" si="49" ref="G889:G894">TRUNC(E889*F889,2)</f>
        <v>22.95</v>
      </c>
      <c r="H889" s="128"/>
      <c r="I889" s="128"/>
    </row>
    <row r="890" spans="1:9" ht="36">
      <c r="A890" s="20"/>
      <c r="B890" s="21" t="s">
        <v>40</v>
      </c>
      <c r="C890" s="101" t="s">
        <v>41</v>
      </c>
      <c r="D890" s="22" t="s">
        <v>7</v>
      </c>
      <c r="E890" s="164">
        <v>0.0412</v>
      </c>
      <c r="F890" s="24">
        <f>TRUNC(13.08,2)</f>
        <v>13.08</v>
      </c>
      <c r="G890" s="128">
        <f t="shared" si="49"/>
        <v>0.53</v>
      </c>
      <c r="H890" s="128"/>
      <c r="I890" s="128"/>
    </row>
    <row r="891" spans="1:9" ht="18.75">
      <c r="A891" s="20"/>
      <c r="B891" s="21" t="s">
        <v>352</v>
      </c>
      <c r="C891" s="101" t="s">
        <v>353</v>
      </c>
      <c r="D891" s="22" t="s">
        <v>7</v>
      </c>
      <c r="E891" s="164">
        <v>0.02</v>
      </c>
      <c r="F891" s="24">
        <f>TRUNC(138.1402,2)</f>
        <v>138.14</v>
      </c>
      <c r="G891" s="128">
        <f t="shared" si="49"/>
        <v>2.76</v>
      </c>
      <c r="H891" s="128"/>
      <c r="I891" s="128"/>
    </row>
    <row r="892" spans="1:9" ht="18.75">
      <c r="A892" s="20"/>
      <c r="B892" s="21" t="s">
        <v>354</v>
      </c>
      <c r="C892" s="101" t="s">
        <v>355</v>
      </c>
      <c r="D892" s="22" t="s">
        <v>7</v>
      </c>
      <c r="E892" s="164">
        <v>0.002</v>
      </c>
      <c r="F892" s="24">
        <f>TRUNC(86.29,2)</f>
        <v>86.29</v>
      </c>
      <c r="G892" s="128">
        <f t="shared" si="49"/>
        <v>0.17</v>
      </c>
      <c r="H892" s="128"/>
      <c r="I892" s="128"/>
    </row>
    <row r="893" spans="1:9" ht="18.75">
      <c r="A893" s="20"/>
      <c r="B893" s="21" t="s">
        <v>356</v>
      </c>
      <c r="C893" s="101" t="s">
        <v>357</v>
      </c>
      <c r="D893" s="22" t="s">
        <v>7</v>
      </c>
      <c r="E893" s="164">
        <v>0.018</v>
      </c>
      <c r="F893" s="24">
        <f>TRUNC(239.58,2)</f>
        <v>239.58</v>
      </c>
      <c r="G893" s="128">
        <f t="shared" si="49"/>
        <v>4.31</v>
      </c>
      <c r="H893" s="128"/>
      <c r="I893" s="128"/>
    </row>
    <row r="894" spans="1:9" ht="18.75">
      <c r="A894" s="20"/>
      <c r="B894" s="21" t="s">
        <v>358</v>
      </c>
      <c r="C894" s="101" t="s">
        <v>359</v>
      </c>
      <c r="D894" s="22" t="s">
        <v>7</v>
      </c>
      <c r="E894" s="164">
        <v>0.1</v>
      </c>
      <c r="F894" s="24">
        <f>TRUNC(151.8461,2)</f>
        <v>151.84</v>
      </c>
      <c r="G894" s="128">
        <f t="shared" si="49"/>
        <v>15.18</v>
      </c>
      <c r="H894" s="128"/>
      <c r="I894" s="128"/>
    </row>
    <row r="895" spans="1:9" ht="18.75">
      <c r="A895" s="20"/>
      <c r="B895" s="21"/>
      <c r="C895" s="101"/>
      <c r="D895" s="22"/>
      <c r="E895" s="164" t="s">
        <v>5</v>
      </c>
      <c r="F895" s="24"/>
      <c r="G895" s="128">
        <f>TRUNC(SUM(G890:G894),2)</f>
        <v>22.95</v>
      </c>
      <c r="H895" s="128"/>
      <c r="I895" s="128"/>
    </row>
    <row r="896" spans="1:11" s="150" customFormat="1" ht="72">
      <c r="A896" s="211" t="s">
        <v>195</v>
      </c>
      <c r="B896" s="235" t="s">
        <v>563</v>
      </c>
      <c r="C896" s="237" t="s">
        <v>829</v>
      </c>
      <c r="D896" s="156" t="s">
        <v>135</v>
      </c>
      <c r="E896" s="214">
        <v>0.1</v>
      </c>
      <c r="F896" s="157">
        <f>TRUNC(F897,2)</f>
        <v>1580.32</v>
      </c>
      <c r="G896" s="244">
        <f>TRUNC(F896*1.2882,2)</f>
        <v>2035.76</v>
      </c>
      <c r="H896" s="244">
        <f>TRUNC(F896*E896,2)</f>
        <v>158.03</v>
      </c>
      <c r="I896" s="244">
        <f>TRUNC(E896*G896,2)</f>
        <v>203.57</v>
      </c>
      <c r="J896" s="149"/>
      <c r="K896" s="149"/>
    </row>
    <row r="897" spans="1:9" ht="90">
      <c r="A897" s="31"/>
      <c r="B897" s="98" t="s">
        <v>563</v>
      </c>
      <c r="C897" s="99" t="s">
        <v>564</v>
      </c>
      <c r="D897" s="18" t="s">
        <v>39</v>
      </c>
      <c r="E897" s="169">
        <v>1</v>
      </c>
      <c r="F897" s="19">
        <f>TRUNC(G913,2)</f>
        <v>1580.32</v>
      </c>
      <c r="G897" s="239">
        <f aca="true" t="shared" si="50" ref="G897:G912">TRUNC(E897*F897,2)</f>
        <v>1580.32</v>
      </c>
      <c r="H897" s="128"/>
      <c r="I897" s="128"/>
    </row>
    <row r="898" spans="1:9" ht="18.75">
      <c r="A898" s="33"/>
      <c r="B898" s="100" t="s">
        <v>565</v>
      </c>
      <c r="C898" s="101" t="s">
        <v>566</v>
      </c>
      <c r="D898" s="22" t="s">
        <v>39</v>
      </c>
      <c r="E898" s="167">
        <v>1</v>
      </c>
      <c r="F898" s="24">
        <f>TRUNC(307.8429,2)</f>
        <v>307.84</v>
      </c>
      <c r="G898" s="128">
        <f t="shared" si="50"/>
        <v>307.84</v>
      </c>
      <c r="H898" s="128"/>
      <c r="I898" s="128"/>
    </row>
    <row r="899" spans="1:9" ht="18.75">
      <c r="A899" s="33"/>
      <c r="B899" s="100" t="s">
        <v>138</v>
      </c>
      <c r="C899" s="101" t="s">
        <v>567</v>
      </c>
      <c r="D899" s="22" t="s">
        <v>46</v>
      </c>
      <c r="E899" s="167">
        <v>12</v>
      </c>
      <c r="F899" s="24">
        <f>TRUNC(5.0444,2)</f>
        <v>5.04</v>
      </c>
      <c r="G899" s="128">
        <f t="shared" si="50"/>
        <v>60.48</v>
      </c>
      <c r="H899" s="128"/>
      <c r="I899" s="128"/>
    </row>
    <row r="900" spans="1:9" ht="18.75">
      <c r="A900" s="33"/>
      <c r="B900" s="100" t="s">
        <v>139</v>
      </c>
      <c r="C900" s="101" t="s">
        <v>568</v>
      </c>
      <c r="D900" s="22" t="s">
        <v>46</v>
      </c>
      <c r="E900" s="167">
        <v>10</v>
      </c>
      <c r="F900" s="24">
        <f>TRUNC(5.0958,2)</f>
        <v>5.09</v>
      </c>
      <c r="G900" s="128">
        <f t="shared" si="50"/>
        <v>50.9</v>
      </c>
      <c r="H900" s="128"/>
      <c r="I900" s="128"/>
    </row>
    <row r="901" spans="1:9" ht="18.75">
      <c r="A901" s="33"/>
      <c r="B901" s="100" t="s">
        <v>140</v>
      </c>
      <c r="C901" s="101" t="s">
        <v>569</v>
      </c>
      <c r="D901" s="22" t="s">
        <v>46</v>
      </c>
      <c r="E901" s="167">
        <v>10</v>
      </c>
      <c r="F901" s="24">
        <f>TRUNC(4.7561,2)</f>
        <v>4.75</v>
      </c>
      <c r="G901" s="128">
        <f t="shared" si="50"/>
        <v>47.5</v>
      </c>
      <c r="H901" s="128"/>
      <c r="I901" s="128"/>
    </row>
    <row r="902" spans="1:9" ht="18.75">
      <c r="A902" s="33"/>
      <c r="B902" s="100" t="s">
        <v>141</v>
      </c>
      <c r="C902" s="101" t="s">
        <v>570</v>
      </c>
      <c r="D902" s="22" t="s">
        <v>46</v>
      </c>
      <c r="E902" s="167">
        <v>4</v>
      </c>
      <c r="F902" s="24">
        <f>TRUNC(4.6223,2)</f>
        <v>4.62</v>
      </c>
      <c r="G902" s="128">
        <f t="shared" si="50"/>
        <v>18.48</v>
      </c>
      <c r="H902" s="128"/>
      <c r="I902" s="128"/>
    </row>
    <row r="903" spans="1:9" ht="18.75">
      <c r="A903" s="33"/>
      <c r="B903" s="100" t="s">
        <v>142</v>
      </c>
      <c r="C903" s="101" t="s">
        <v>571</v>
      </c>
      <c r="D903" s="22" t="s">
        <v>46</v>
      </c>
      <c r="E903" s="167">
        <v>12</v>
      </c>
      <c r="F903" s="24">
        <f>TRUNC(4.6223,2)</f>
        <v>4.62</v>
      </c>
      <c r="G903" s="128">
        <f t="shared" si="50"/>
        <v>55.44</v>
      </c>
      <c r="H903" s="128"/>
      <c r="I903" s="128"/>
    </row>
    <row r="904" spans="1:9" ht="18.75">
      <c r="A904" s="33"/>
      <c r="B904" s="100" t="s">
        <v>143</v>
      </c>
      <c r="C904" s="101" t="s">
        <v>572</v>
      </c>
      <c r="D904" s="22" t="s">
        <v>46</v>
      </c>
      <c r="E904" s="167">
        <v>12</v>
      </c>
      <c r="F904" s="24">
        <f>TRUNC(4.8488,2)</f>
        <v>4.84</v>
      </c>
      <c r="G904" s="128">
        <f t="shared" si="50"/>
        <v>58.08</v>
      </c>
      <c r="H904" s="128"/>
      <c r="I904" s="128"/>
    </row>
    <row r="905" spans="1:9" ht="18.75">
      <c r="A905" s="33"/>
      <c r="B905" s="100" t="s">
        <v>85</v>
      </c>
      <c r="C905" s="101" t="s">
        <v>101</v>
      </c>
      <c r="D905" s="22" t="s">
        <v>46</v>
      </c>
      <c r="E905" s="167">
        <v>1.8</v>
      </c>
      <c r="F905" s="24">
        <f>TRUNC(6.4,2)</f>
        <v>6.4</v>
      </c>
      <c r="G905" s="128">
        <f t="shared" si="50"/>
        <v>11.52</v>
      </c>
      <c r="H905" s="128"/>
      <c r="I905" s="128"/>
    </row>
    <row r="906" spans="1:9" ht="36">
      <c r="A906" s="33"/>
      <c r="B906" s="100" t="s">
        <v>40</v>
      </c>
      <c r="C906" s="101" t="s">
        <v>41</v>
      </c>
      <c r="D906" s="22" t="s">
        <v>7</v>
      </c>
      <c r="E906" s="167">
        <v>9.4245</v>
      </c>
      <c r="F906" s="24">
        <f>TRUNC(13.08,2)</f>
        <v>13.08</v>
      </c>
      <c r="G906" s="128">
        <f t="shared" si="50"/>
        <v>123.27</v>
      </c>
      <c r="H906" s="128"/>
      <c r="I906" s="128"/>
    </row>
    <row r="907" spans="1:9" ht="18.75">
      <c r="A907" s="33"/>
      <c r="B907" s="100" t="s">
        <v>43</v>
      </c>
      <c r="C907" s="101" t="s">
        <v>100</v>
      </c>
      <c r="D907" s="22" t="s">
        <v>7</v>
      </c>
      <c r="E907" s="167">
        <v>0.515</v>
      </c>
      <c r="F907" s="24">
        <f>TRUNC(18.05,2)</f>
        <v>18.05</v>
      </c>
      <c r="G907" s="128">
        <f t="shared" si="50"/>
        <v>9.29</v>
      </c>
      <c r="H907" s="128"/>
      <c r="I907" s="128"/>
    </row>
    <row r="908" spans="1:9" ht="36">
      <c r="A908" s="33"/>
      <c r="B908" s="100" t="s">
        <v>84</v>
      </c>
      <c r="C908" s="101" t="s">
        <v>267</v>
      </c>
      <c r="D908" s="22" t="s">
        <v>7</v>
      </c>
      <c r="E908" s="167">
        <v>0.515</v>
      </c>
      <c r="F908" s="24">
        <f>TRUNC(18.05,2)</f>
        <v>18.05</v>
      </c>
      <c r="G908" s="128">
        <f t="shared" si="50"/>
        <v>9.29</v>
      </c>
      <c r="H908" s="128"/>
      <c r="I908" s="128"/>
    </row>
    <row r="909" spans="1:9" ht="36">
      <c r="A909" s="33"/>
      <c r="B909" s="100" t="s">
        <v>144</v>
      </c>
      <c r="C909" s="101" t="s">
        <v>284</v>
      </c>
      <c r="D909" s="22" t="s">
        <v>7</v>
      </c>
      <c r="E909" s="167">
        <v>6.3345</v>
      </c>
      <c r="F909" s="24">
        <f>TRUNC(18.05,2)</f>
        <v>18.05</v>
      </c>
      <c r="G909" s="128">
        <f t="shared" si="50"/>
        <v>114.33</v>
      </c>
      <c r="H909" s="128"/>
      <c r="I909" s="128"/>
    </row>
    <row r="910" spans="1:9" ht="18.75">
      <c r="A910" s="33"/>
      <c r="B910" s="100" t="s">
        <v>145</v>
      </c>
      <c r="C910" s="101" t="s">
        <v>281</v>
      </c>
      <c r="D910" s="22" t="s">
        <v>7</v>
      </c>
      <c r="E910" s="167">
        <v>0.805</v>
      </c>
      <c r="F910" s="24">
        <f>TRUNC(0.2441,2)</f>
        <v>0.24</v>
      </c>
      <c r="G910" s="128">
        <f t="shared" si="50"/>
        <v>0.19</v>
      </c>
      <c r="H910" s="128"/>
      <c r="I910" s="128"/>
    </row>
    <row r="911" spans="1:9" ht="18.75">
      <c r="A911" s="33"/>
      <c r="B911" s="100" t="s">
        <v>146</v>
      </c>
      <c r="C911" s="101" t="s">
        <v>282</v>
      </c>
      <c r="D911" s="22" t="s">
        <v>7</v>
      </c>
      <c r="E911" s="167">
        <v>0.345</v>
      </c>
      <c r="F911" s="24">
        <f>TRUNC(1.1704,2)</f>
        <v>1.17</v>
      </c>
      <c r="G911" s="128">
        <f t="shared" si="50"/>
        <v>0.4</v>
      </c>
      <c r="H911" s="128"/>
      <c r="I911" s="128"/>
    </row>
    <row r="912" spans="1:9" ht="18.75">
      <c r="A912" s="33"/>
      <c r="B912" s="100" t="s">
        <v>573</v>
      </c>
      <c r="C912" s="101" t="s">
        <v>574</v>
      </c>
      <c r="D912" s="22" t="s">
        <v>44</v>
      </c>
      <c r="E912" s="167">
        <v>12</v>
      </c>
      <c r="F912" s="24">
        <f>TRUNC(59.4191,2)</f>
        <v>59.41</v>
      </c>
      <c r="G912" s="128">
        <f t="shared" si="50"/>
        <v>712.92</v>
      </c>
      <c r="H912" s="128"/>
      <c r="I912" s="128"/>
    </row>
    <row r="913" spans="1:9" ht="18.75">
      <c r="A913" s="33"/>
      <c r="B913" s="100"/>
      <c r="C913" s="101"/>
      <c r="D913" s="22"/>
      <c r="E913" s="167" t="s">
        <v>5</v>
      </c>
      <c r="F913" s="24"/>
      <c r="G913" s="128">
        <v>1580.32</v>
      </c>
      <c r="H913" s="128"/>
      <c r="I913" s="128"/>
    </row>
    <row r="914" spans="1:11" s="150" customFormat="1" ht="36">
      <c r="A914" s="211" t="s">
        <v>196</v>
      </c>
      <c r="B914" s="235" t="s">
        <v>1022</v>
      </c>
      <c r="C914" s="237" t="s">
        <v>577</v>
      </c>
      <c r="D914" s="156" t="s">
        <v>106</v>
      </c>
      <c r="E914" s="214">
        <v>31.05</v>
      </c>
      <c r="F914" s="157">
        <f>TRUNC(G924,2)</f>
        <v>73.75</v>
      </c>
      <c r="G914" s="244">
        <f>TRUNC(F914*1.2882,2)</f>
        <v>95</v>
      </c>
      <c r="H914" s="244">
        <f>TRUNC(F914*E914,2)</f>
        <v>2289.93</v>
      </c>
      <c r="I914" s="244">
        <f>TRUNC(E914*G914,2)</f>
        <v>2949.75</v>
      </c>
      <c r="J914" s="149"/>
      <c r="K914" s="149"/>
    </row>
    <row r="915" spans="1:11" ht="36">
      <c r="A915" s="31"/>
      <c r="B915" s="79" t="s">
        <v>1022</v>
      </c>
      <c r="C915" s="80" t="s">
        <v>577</v>
      </c>
      <c r="D915" s="18" t="s">
        <v>44</v>
      </c>
      <c r="E915" s="169">
        <v>1</v>
      </c>
      <c r="F915" s="19">
        <f>TRUNC(73.779802,2)</f>
        <v>73.77</v>
      </c>
      <c r="G915" s="239">
        <f aca="true" t="shared" si="51" ref="G915:G923">TRUNC(E915*F915,2)</f>
        <v>73.77</v>
      </c>
      <c r="H915" s="128"/>
      <c r="I915" s="128"/>
      <c r="J915" s="55"/>
      <c r="K915" s="55"/>
    </row>
    <row r="916" spans="1:11" ht="36">
      <c r="A916" s="33"/>
      <c r="B916" s="64" t="s">
        <v>1023</v>
      </c>
      <c r="C916" s="78" t="s">
        <v>575</v>
      </c>
      <c r="D916" s="22" t="s">
        <v>44</v>
      </c>
      <c r="E916" s="167">
        <v>1.1224</v>
      </c>
      <c r="F916" s="24">
        <f>TRUNC(20.49,2)</f>
        <v>20.49</v>
      </c>
      <c r="G916" s="128">
        <f t="shared" si="51"/>
        <v>22.99</v>
      </c>
      <c r="H916" s="128"/>
      <c r="I916" s="128"/>
      <c r="J916" s="55"/>
      <c r="K916" s="55"/>
    </row>
    <row r="917" spans="1:11" ht="36">
      <c r="A917" s="33"/>
      <c r="B917" s="64" t="s">
        <v>1024</v>
      </c>
      <c r="C917" s="78" t="s">
        <v>952</v>
      </c>
      <c r="D917" s="22" t="s">
        <v>52</v>
      </c>
      <c r="E917" s="167">
        <v>0.2</v>
      </c>
      <c r="F917" s="24">
        <f>TRUNC(1.46,2)</f>
        <v>1.46</v>
      </c>
      <c r="G917" s="128">
        <f t="shared" si="51"/>
        <v>0.29</v>
      </c>
      <c r="H917" s="128"/>
      <c r="I917" s="128"/>
      <c r="J917" s="55"/>
      <c r="K917" s="55"/>
    </row>
    <row r="918" spans="1:11" ht="36">
      <c r="A918" s="33"/>
      <c r="B918" s="64" t="s">
        <v>1025</v>
      </c>
      <c r="C918" s="78" t="s">
        <v>578</v>
      </c>
      <c r="D918" s="22" t="s">
        <v>52</v>
      </c>
      <c r="E918" s="167">
        <v>0.25</v>
      </c>
      <c r="F918" s="24">
        <f>TRUNC(7.05,2)</f>
        <v>7.05</v>
      </c>
      <c r="G918" s="128">
        <f t="shared" si="51"/>
        <v>1.76</v>
      </c>
      <c r="H918" s="128"/>
      <c r="I918" s="128"/>
      <c r="J918" s="55"/>
      <c r="K918" s="55"/>
    </row>
    <row r="919" spans="1:11" ht="18.75">
      <c r="A919" s="33"/>
      <c r="B919" s="64" t="s">
        <v>1026</v>
      </c>
      <c r="C919" s="78" t="s">
        <v>579</v>
      </c>
      <c r="D919" s="22" t="s">
        <v>44</v>
      </c>
      <c r="E919" s="167">
        <v>1.128</v>
      </c>
      <c r="F919" s="24">
        <f>TRUNC(0.66,2)</f>
        <v>0.66</v>
      </c>
      <c r="G919" s="128">
        <f t="shared" si="51"/>
        <v>0.74</v>
      </c>
      <c r="H919" s="128"/>
      <c r="I919" s="128"/>
      <c r="J919" s="55"/>
      <c r="K919" s="55"/>
    </row>
    <row r="920" spans="1:11" ht="18.75">
      <c r="A920" s="33"/>
      <c r="B920" s="64" t="s">
        <v>964</v>
      </c>
      <c r="C920" s="78" t="s">
        <v>286</v>
      </c>
      <c r="D920" s="22" t="s">
        <v>7</v>
      </c>
      <c r="E920" s="167">
        <v>0.4572</v>
      </c>
      <c r="F920" s="24">
        <f>TRUNC(19.85,2)</f>
        <v>19.85</v>
      </c>
      <c r="G920" s="128">
        <f t="shared" si="51"/>
        <v>9.07</v>
      </c>
      <c r="H920" s="128"/>
      <c r="I920" s="128"/>
      <c r="J920" s="55"/>
      <c r="K920" s="55"/>
    </row>
    <row r="921" spans="1:11" ht="18.75">
      <c r="A921" s="33"/>
      <c r="B921" s="64" t="s">
        <v>968</v>
      </c>
      <c r="C921" s="78" t="s">
        <v>576</v>
      </c>
      <c r="D921" s="22" t="s">
        <v>7</v>
      </c>
      <c r="E921" s="167">
        <v>0.2767</v>
      </c>
      <c r="F921" s="24">
        <f>TRUNC(25.18,2)</f>
        <v>25.18</v>
      </c>
      <c r="G921" s="128">
        <f t="shared" si="51"/>
        <v>6.96</v>
      </c>
      <c r="H921" s="128"/>
      <c r="I921" s="128"/>
      <c r="J921" s="55"/>
      <c r="K921" s="55"/>
    </row>
    <row r="922" spans="1:11" ht="18.75">
      <c r="A922" s="33"/>
      <c r="B922" s="64" t="s">
        <v>1027</v>
      </c>
      <c r="C922" s="78" t="s">
        <v>580</v>
      </c>
      <c r="D922" s="22" t="s">
        <v>7</v>
      </c>
      <c r="E922" s="167">
        <v>0.1805</v>
      </c>
      <c r="F922" s="24">
        <f>TRUNC(24.72,2)</f>
        <v>24.72</v>
      </c>
      <c r="G922" s="128">
        <f t="shared" si="51"/>
        <v>4.46</v>
      </c>
      <c r="H922" s="128"/>
      <c r="I922" s="128"/>
      <c r="J922" s="55"/>
      <c r="K922" s="55"/>
    </row>
    <row r="923" spans="1:11" ht="36">
      <c r="A923" s="33"/>
      <c r="B923" s="64" t="s">
        <v>1028</v>
      </c>
      <c r="C923" s="78" t="s">
        <v>1029</v>
      </c>
      <c r="D923" s="22" t="s">
        <v>39</v>
      </c>
      <c r="E923" s="167">
        <v>0.097</v>
      </c>
      <c r="F923" s="24">
        <f>TRUNC(283.28,2)</f>
        <v>283.28</v>
      </c>
      <c r="G923" s="128">
        <f t="shared" si="51"/>
        <v>27.47</v>
      </c>
      <c r="H923" s="128"/>
      <c r="I923" s="128"/>
      <c r="J923" s="55"/>
      <c r="K923" s="55"/>
    </row>
    <row r="924" spans="1:11" ht="18.75">
      <c r="A924" s="33"/>
      <c r="B924" s="64"/>
      <c r="C924" s="78"/>
      <c r="D924" s="22"/>
      <c r="E924" s="167" t="s">
        <v>5</v>
      </c>
      <c r="F924" s="24"/>
      <c r="G924" s="128">
        <v>73.75</v>
      </c>
      <c r="H924" s="128"/>
      <c r="I924" s="128"/>
      <c r="J924" s="55"/>
      <c r="K924" s="55"/>
    </row>
    <row r="925" spans="1:11" s="150" customFormat="1" ht="36">
      <c r="A925" s="211" t="s">
        <v>197</v>
      </c>
      <c r="B925" s="235" t="s">
        <v>830</v>
      </c>
      <c r="C925" s="237" t="s">
        <v>831</v>
      </c>
      <c r="D925" s="156" t="s">
        <v>106</v>
      </c>
      <c r="E925" s="214">
        <v>32.45</v>
      </c>
      <c r="F925" s="157">
        <f>TRUNC(F926,2)</f>
        <v>29.23</v>
      </c>
      <c r="G925" s="244">
        <f>TRUNC(F925*1.2882,2)</f>
        <v>37.65</v>
      </c>
      <c r="H925" s="244">
        <f>TRUNC(F925*E925,2)</f>
        <v>948.51</v>
      </c>
      <c r="I925" s="244">
        <f>TRUNC(E925*G925,2)</f>
        <v>1221.74</v>
      </c>
      <c r="J925" s="149"/>
      <c r="K925" s="149"/>
    </row>
    <row r="926" spans="1:9" ht="36">
      <c r="A926" s="31"/>
      <c r="B926" s="98" t="s">
        <v>830</v>
      </c>
      <c r="C926" s="99" t="s">
        <v>953</v>
      </c>
      <c r="D926" s="18" t="s">
        <v>44</v>
      </c>
      <c r="E926" s="169">
        <v>1</v>
      </c>
      <c r="F926" s="19">
        <f>TRUNC(G930,2)</f>
        <v>29.23</v>
      </c>
      <c r="G926" s="239">
        <f>TRUNC(E926*F926,2)</f>
        <v>29.23</v>
      </c>
      <c r="H926" s="128"/>
      <c r="I926" s="128"/>
    </row>
    <row r="927" spans="1:9" ht="36">
      <c r="A927" s="33"/>
      <c r="B927" s="100" t="s">
        <v>40</v>
      </c>
      <c r="C927" s="101" t="s">
        <v>41</v>
      </c>
      <c r="D927" s="22" t="s">
        <v>7</v>
      </c>
      <c r="E927" s="167">
        <v>0.7931</v>
      </c>
      <c r="F927" s="24">
        <f>TRUNC(13.08,2)</f>
        <v>13.08</v>
      </c>
      <c r="G927" s="128">
        <f>TRUNC(E927*F927,2)</f>
        <v>10.37</v>
      </c>
      <c r="H927" s="128"/>
      <c r="I927" s="128"/>
    </row>
    <row r="928" spans="1:9" ht="18.75">
      <c r="A928" s="33"/>
      <c r="B928" s="100" t="s">
        <v>43</v>
      </c>
      <c r="C928" s="101" t="s">
        <v>100</v>
      </c>
      <c r="D928" s="22" t="s">
        <v>7</v>
      </c>
      <c r="E928" s="167">
        <v>0.8240000000000001</v>
      </c>
      <c r="F928" s="24">
        <f>TRUNC(18.05,2)</f>
        <v>18.05</v>
      </c>
      <c r="G928" s="128">
        <f>TRUNC(E928*F928,2)</f>
        <v>14.87</v>
      </c>
      <c r="H928" s="128"/>
      <c r="I928" s="128"/>
    </row>
    <row r="929" spans="1:9" ht="18.75">
      <c r="A929" s="33"/>
      <c r="B929" s="100" t="s">
        <v>77</v>
      </c>
      <c r="C929" s="101" t="s">
        <v>592</v>
      </c>
      <c r="D929" s="22" t="s">
        <v>39</v>
      </c>
      <c r="E929" s="167">
        <v>0.015</v>
      </c>
      <c r="F929" s="24">
        <f>TRUNC(266.0371,2)</f>
        <v>266.03</v>
      </c>
      <c r="G929" s="128">
        <f>TRUNC(E929*F929,2)</f>
        <v>3.99</v>
      </c>
      <c r="H929" s="128"/>
      <c r="I929" s="128"/>
    </row>
    <row r="930" spans="1:9" ht="18.75">
      <c r="A930" s="33"/>
      <c r="B930" s="100"/>
      <c r="C930" s="101"/>
      <c r="D930" s="22"/>
      <c r="E930" s="167" t="s">
        <v>5</v>
      </c>
      <c r="F930" s="24"/>
      <c r="G930" s="128">
        <f>TRUNC(SUM(G927:G929),2)</f>
        <v>29.23</v>
      </c>
      <c r="H930" s="128"/>
      <c r="I930" s="128"/>
    </row>
    <row r="931" spans="1:11" s="150" customFormat="1" ht="18.75">
      <c r="A931" s="211" t="s">
        <v>198</v>
      </c>
      <c r="B931" s="235" t="s">
        <v>581</v>
      </c>
      <c r="C931" s="237" t="s">
        <v>523</v>
      </c>
      <c r="D931" s="156" t="s">
        <v>106</v>
      </c>
      <c r="E931" s="214">
        <v>2.25</v>
      </c>
      <c r="F931" s="157">
        <f>TRUNC(F932,2)</f>
        <v>112.16</v>
      </c>
      <c r="G931" s="244">
        <f>TRUNC(F931*1.2882,2)</f>
        <v>144.48</v>
      </c>
      <c r="H931" s="244">
        <f>TRUNC(F931*E931,2)</f>
        <v>252.36</v>
      </c>
      <c r="I931" s="244">
        <f>TRUNC(E931*G931,2)</f>
        <v>325.08</v>
      </c>
      <c r="J931" s="149"/>
      <c r="K931" s="149"/>
    </row>
    <row r="932" spans="1:9" ht="54">
      <c r="A932" s="31"/>
      <c r="B932" s="98" t="s">
        <v>581</v>
      </c>
      <c r="C932" s="103" t="s">
        <v>582</v>
      </c>
      <c r="D932" s="18" t="s">
        <v>44</v>
      </c>
      <c r="E932" s="169">
        <v>1</v>
      </c>
      <c r="F932" s="19">
        <f>TRUNC(G940,2)</f>
        <v>112.16</v>
      </c>
      <c r="G932" s="239">
        <f aca="true" t="shared" si="52" ref="G932:G939">TRUNC(E932*F932,2)</f>
        <v>112.16</v>
      </c>
      <c r="H932" s="128"/>
      <c r="I932" s="128"/>
    </row>
    <row r="933" spans="1:9" ht="18.75">
      <c r="A933" s="33"/>
      <c r="B933" s="100" t="s">
        <v>583</v>
      </c>
      <c r="C933" s="103" t="s">
        <v>584</v>
      </c>
      <c r="D933" s="22" t="s">
        <v>44</v>
      </c>
      <c r="E933" s="167">
        <v>1.05</v>
      </c>
      <c r="F933" s="24">
        <f>TRUNC(56.7,2)</f>
        <v>56.7</v>
      </c>
      <c r="G933" s="128">
        <f t="shared" si="52"/>
        <v>59.53</v>
      </c>
      <c r="H933" s="128"/>
      <c r="I933" s="128"/>
    </row>
    <row r="934" spans="1:9" ht="18.75">
      <c r="A934" s="33"/>
      <c r="B934" s="100" t="s">
        <v>585</v>
      </c>
      <c r="C934" s="103" t="s">
        <v>586</v>
      </c>
      <c r="D934" s="22" t="s">
        <v>46</v>
      </c>
      <c r="E934" s="167">
        <v>0.1</v>
      </c>
      <c r="F934" s="24">
        <f>TRUNC(36,2)</f>
        <v>36</v>
      </c>
      <c r="G934" s="128">
        <f t="shared" si="52"/>
        <v>3.6</v>
      </c>
      <c r="H934" s="128"/>
      <c r="I934" s="128"/>
    </row>
    <row r="935" spans="1:9" ht="18.75">
      <c r="A935" s="33"/>
      <c r="B935" s="100" t="s">
        <v>110</v>
      </c>
      <c r="C935" s="103" t="s">
        <v>322</v>
      </c>
      <c r="D935" s="22" t="s">
        <v>46</v>
      </c>
      <c r="E935" s="167">
        <v>0.1</v>
      </c>
      <c r="F935" s="24">
        <f>TRUNC(1.44,2)</f>
        <v>1.44</v>
      </c>
      <c r="G935" s="128">
        <f t="shared" si="52"/>
        <v>0.14</v>
      </c>
      <c r="H935" s="128"/>
      <c r="I935" s="128"/>
    </row>
    <row r="936" spans="1:9" ht="36">
      <c r="A936" s="33"/>
      <c r="B936" s="100" t="s">
        <v>40</v>
      </c>
      <c r="C936" s="103" t="s">
        <v>41</v>
      </c>
      <c r="D936" s="22" t="s">
        <v>7</v>
      </c>
      <c r="E936" s="167">
        <v>1.1330000000000002</v>
      </c>
      <c r="F936" s="24">
        <f>TRUNC(13.08,2)</f>
        <v>13.08</v>
      </c>
      <c r="G936" s="128">
        <f t="shared" si="52"/>
        <v>14.81</v>
      </c>
      <c r="H936" s="128"/>
      <c r="I936" s="128"/>
    </row>
    <row r="937" spans="1:9" ht="18.75">
      <c r="A937" s="33"/>
      <c r="B937" s="100" t="s">
        <v>111</v>
      </c>
      <c r="C937" s="103" t="s">
        <v>306</v>
      </c>
      <c r="D937" s="22" t="s">
        <v>7</v>
      </c>
      <c r="E937" s="167">
        <v>1.1330000000000002</v>
      </c>
      <c r="F937" s="24">
        <f>TRUNC(19.43,2)</f>
        <v>19.43</v>
      </c>
      <c r="G937" s="128">
        <f t="shared" si="52"/>
        <v>22.01</v>
      </c>
      <c r="H937" s="128"/>
      <c r="I937" s="128"/>
    </row>
    <row r="938" spans="1:9" ht="18.75">
      <c r="A938" s="33"/>
      <c r="B938" s="100" t="s">
        <v>112</v>
      </c>
      <c r="C938" s="103" t="s">
        <v>412</v>
      </c>
      <c r="D938" s="22" t="s">
        <v>39</v>
      </c>
      <c r="E938" s="167">
        <v>0.035</v>
      </c>
      <c r="F938" s="24">
        <f>TRUNC(314.2639,2)</f>
        <v>314.26</v>
      </c>
      <c r="G938" s="128">
        <f t="shared" si="52"/>
        <v>10.99</v>
      </c>
      <c r="H938" s="128"/>
      <c r="I938" s="128"/>
    </row>
    <row r="939" spans="1:9" ht="18.75">
      <c r="A939" s="33"/>
      <c r="B939" s="100" t="s">
        <v>113</v>
      </c>
      <c r="C939" s="103" t="s">
        <v>413</v>
      </c>
      <c r="D939" s="22" t="s">
        <v>39</v>
      </c>
      <c r="E939" s="167">
        <v>0.002</v>
      </c>
      <c r="F939" s="24">
        <f>TRUNC(542.5016,2)</f>
        <v>542.5</v>
      </c>
      <c r="G939" s="128">
        <f t="shared" si="52"/>
        <v>1.08</v>
      </c>
      <c r="H939" s="128"/>
      <c r="I939" s="128"/>
    </row>
    <row r="940" spans="1:9" ht="18.75">
      <c r="A940" s="33"/>
      <c r="B940" s="100"/>
      <c r="C940" s="103"/>
      <c r="D940" s="22"/>
      <c r="E940" s="167" t="s">
        <v>5</v>
      </c>
      <c r="F940" s="24"/>
      <c r="G940" s="128">
        <f>TRUNC(SUM(G933:G939),2)</f>
        <v>112.16</v>
      </c>
      <c r="H940" s="128"/>
      <c r="I940" s="128"/>
    </row>
    <row r="941" spans="1:11" s="150" customFormat="1" ht="72">
      <c r="A941" s="211" t="s">
        <v>199</v>
      </c>
      <c r="B941" s="235" t="s">
        <v>159</v>
      </c>
      <c r="C941" s="237" t="s">
        <v>317</v>
      </c>
      <c r="D941" s="156" t="s">
        <v>106</v>
      </c>
      <c r="E941" s="214">
        <v>11</v>
      </c>
      <c r="F941" s="258">
        <f>TRUNC(F942,2)</f>
        <v>35.26</v>
      </c>
      <c r="G941" s="244">
        <f>TRUNC(F941*1.2882,2)</f>
        <v>45.42</v>
      </c>
      <c r="H941" s="244">
        <f>TRUNC(F941*E941,2)</f>
        <v>387.86</v>
      </c>
      <c r="I941" s="244">
        <f>TRUNC(E941*G941,2)</f>
        <v>499.62</v>
      </c>
      <c r="J941" s="149"/>
      <c r="K941" s="149"/>
    </row>
    <row r="942" spans="1:9" ht="72">
      <c r="A942" s="31"/>
      <c r="B942" s="98" t="s">
        <v>159</v>
      </c>
      <c r="C942" s="99" t="s">
        <v>954</v>
      </c>
      <c r="D942" s="18" t="s">
        <v>44</v>
      </c>
      <c r="E942" s="169">
        <v>1</v>
      </c>
      <c r="F942" s="19">
        <f>TRUNC(G948,2)</f>
        <v>35.26</v>
      </c>
      <c r="G942" s="239">
        <f aca="true" t="shared" si="53" ref="G942:G947">TRUNC(E942*F942,2)</f>
        <v>35.26</v>
      </c>
      <c r="H942" s="128"/>
      <c r="I942" s="128"/>
    </row>
    <row r="943" spans="1:9" ht="18.75">
      <c r="A943" s="33"/>
      <c r="B943" s="100" t="s">
        <v>587</v>
      </c>
      <c r="C943" s="101" t="s">
        <v>588</v>
      </c>
      <c r="D943" s="22" t="s">
        <v>0</v>
      </c>
      <c r="E943" s="167">
        <v>17</v>
      </c>
      <c r="F943" s="24">
        <f>TRUNC(0.72,2)</f>
        <v>0.72</v>
      </c>
      <c r="G943" s="128">
        <f t="shared" si="53"/>
        <v>12.24</v>
      </c>
      <c r="H943" s="128"/>
      <c r="I943" s="128"/>
    </row>
    <row r="944" spans="1:9" ht="18.75">
      <c r="A944" s="33"/>
      <c r="B944" s="100" t="s">
        <v>589</v>
      </c>
      <c r="C944" s="101" t="s">
        <v>590</v>
      </c>
      <c r="D944" s="22" t="s">
        <v>0</v>
      </c>
      <c r="E944" s="167">
        <v>1</v>
      </c>
      <c r="F944" s="24">
        <f>TRUNC(0.48,2)</f>
        <v>0.48</v>
      </c>
      <c r="G944" s="128">
        <f t="shared" si="53"/>
        <v>0.48</v>
      </c>
      <c r="H944" s="128"/>
      <c r="I944" s="128"/>
    </row>
    <row r="945" spans="1:9" ht="36">
      <c r="A945" s="33"/>
      <c r="B945" s="100" t="s">
        <v>40</v>
      </c>
      <c r="C945" s="101" t="s">
        <v>41</v>
      </c>
      <c r="D945" s="22" t="s">
        <v>7</v>
      </c>
      <c r="E945" s="167">
        <v>0.41200000000000003</v>
      </c>
      <c r="F945" s="24">
        <f>TRUNC(13.08,2)</f>
        <v>13.08</v>
      </c>
      <c r="G945" s="128">
        <f t="shared" si="53"/>
        <v>5.38</v>
      </c>
      <c r="H945" s="128"/>
      <c r="I945" s="128"/>
    </row>
    <row r="946" spans="1:9" ht="18.75">
      <c r="A946" s="33"/>
      <c r="B946" s="100" t="s">
        <v>43</v>
      </c>
      <c r="C946" s="101" t="s">
        <v>100</v>
      </c>
      <c r="D946" s="22" t="s">
        <v>7</v>
      </c>
      <c r="E946" s="167">
        <v>0.8343</v>
      </c>
      <c r="F946" s="24">
        <f>TRUNC(18.05,2)</f>
        <v>18.05</v>
      </c>
      <c r="G946" s="128">
        <f t="shared" si="53"/>
        <v>15.05</v>
      </c>
      <c r="H946" s="128"/>
      <c r="I946" s="128"/>
    </row>
    <row r="947" spans="1:9" ht="18.75">
      <c r="A947" s="33"/>
      <c r="B947" s="100" t="s">
        <v>160</v>
      </c>
      <c r="C947" s="101" t="s">
        <v>591</v>
      </c>
      <c r="D947" s="22" t="s">
        <v>39</v>
      </c>
      <c r="E947" s="167">
        <v>0.01</v>
      </c>
      <c r="F947" s="24">
        <f>TRUNC(211.3936,2)</f>
        <v>211.39</v>
      </c>
      <c r="G947" s="128">
        <f t="shared" si="53"/>
        <v>2.11</v>
      </c>
      <c r="H947" s="128"/>
      <c r="I947" s="128"/>
    </row>
    <row r="948" spans="1:9" ht="18.75">
      <c r="A948" s="33"/>
      <c r="B948" s="100"/>
      <c r="C948" s="101"/>
      <c r="D948" s="22"/>
      <c r="E948" s="167" t="s">
        <v>5</v>
      </c>
      <c r="F948" s="24"/>
      <c r="G948" s="128">
        <f>TRUNC(SUM(G943:G947),2)</f>
        <v>35.26</v>
      </c>
      <c r="H948" s="128"/>
      <c r="I948" s="128"/>
    </row>
    <row r="949" spans="1:11" s="150" customFormat="1" ht="36">
      <c r="A949" s="211" t="s">
        <v>200</v>
      </c>
      <c r="B949" s="235" t="s">
        <v>593</v>
      </c>
      <c r="C949" s="237" t="s">
        <v>594</v>
      </c>
      <c r="D949" s="156" t="s">
        <v>106</v>
      </c>
      <c r="E949" s="214">
        <v>27</v>
      </c>
      <c r="F949" s="157">
        <f>TRUNC(F950,2)</f>
        <v>18.73</v>
      </c>
      <c r="G949" s="244">
        <f>TRUNC(F949*1.2882,2)</f>
        <v>24.12</v>
      </c>
      <c r="H949" s="244">
        <f>TRUNC(F949*E949,2)</f>
        <v>505.71</v>
      </c>
      <c r="I949" s="244">
        <f>TRUNC(E949*G949,2)</f>
        <v>651.24</v>
      </c>
      <c r="J949" s="149"/>
      <c r="K949" s="149"/>
    </row>
    <row r="950" spans="1:9" ht="54">
      <c r="A950" s="31"/>
      <c r="B950" s="98" t="s">
        <v>593</v>
      </c>
      <c r="C950" s="99" t="s">
        <v>955</v>
      </c>
      <c r="D950" s="18" t="s">
        <v>44</v>
      </c>
      <c r="E950" s="169">
        <v>1</v>
      </c>
      <c r="F950" s="19">
        <f>TRUNC(G954,2)</f>
        <v>18.73</v>
      </c>
      <c r="G950" s="239">
        <f>TRUNC(E950*F950,2)</f>
        <v>18.73</v>
      </c>
      <c r="H950" s="128"/>
      <c r="I950" s="128"/>
    </row>
    <row r="951" spans="1:9" ht="36">
      <c r="A951" s="33"/>
      <c r="B951" s="100" t="s">
        <v>40</v>
      </c>
      <c r="C951" s="101" t="s">
        <v>41</v>
      </c>
      <c r="D951" s="22" t="s">
        <v>7</v>
      </c>
      <c r="E951" s="167">
        <v>0.41200000000000003</v>
      </c>
      <c r="F951" s="24">
        <f>TRUNC(13.08,2)</f>
        <v>13.08</v>
      </c>
      <c r="G951" s="128">
        <f>TRUNC(E951*F951,2)</f>
        <v>5.38</v>
      </c>
      <c r="H951" s="128"/>
      <c r="I951" s="128"/>
    </row>
    <row r="952" spans="1:9" ht="18.75">
      <c r="A952" s="33"/>
      <c r="B952" s="100" t="s">
        <v>43</v>
      </c>
      <c r="C952" s="101" t="s">
        <v>100</v>
      </c>
      <c r="D952" s="22" t="s">
        <v>7</v>
      </c>
      <c r="E952" s="167">
        <v>0.41200000000000003</v>
      </c>
      <c r="F952" s="24">
        <f>TRUNC(18.05,2)</f>
        <v>18.05</v>
      </c>
      <c r="G952" s="128">
        <f>TRUNC(E952*F952,2)</f>
        <v>7.43</v>
      </c>
      <c r="H952" s="128"/>
      <c r="I952" s="128"/>
    </row>
    <row r="953" spans="1:9" ht="18.75">
      <c r="A953" s="33"/>
      <c r="B953" s="100" t="s">
        <v>595</v>
      </c>
      <c r="C953" s="101" t="s">
        <v>596</v>
      </c>
      <c r="D953" s="22" t="s">
        <v>39</v>
      </c>
      <c r="E953" s="167">
        <v>0.021</v>
      </c>
      <c r="F953" s="24">
        <f>TRUNC(282.2043,2)</f>
        <v>282.2</v>
      </c>
      <c r="G953" s="128">
        <f>TRUNC(E953*F953,2)</f>
        <v>5.92</v>
      </c>
      <c r="H953" s="128"/>
      <c r="I953" s="128"/>
    </row>
    <row r="954" spans="1:9" ht="18.75">
      <c r="A954" s="33"/>
      <c r="B954" s="100"/>
      <c r="C954" s="101"/>
      <c r="D954" s="22"/>
      <c r="E954" s="167" t="s">
        <v>5</v>
      </c>
      <c r="F954" s="24"/>
      <c r="G954" s="128">
        <f>TRUNC(SUM(G951:G953),2)</f>
        <v>18.73</v>
      </c>
      <c r="H954" s="128"/>
      <c r="I954" s="128"/>
    </row>
    <row r="955" spans="1:11" s="150" customFormat="1" ht="36">
      <c r="A955" s="211" t="s">
        <v>201</v>
      </c>
      <c r="B955" s="235" t="s">
        <v>837</v>
      </c>
      <c r="C955" s="237" t="s">
        <v>838</v>
      </c>
      <c r="D955" s="156" t="s">
        <v>106</v>
      </c>
      <c r="E955" s="214">
        <v>95</v>
      </c>
      <c r="F955" s="157">
        <f>TRUNC(F956,2)</f>
        <v>3.77</v>
      </c>
      <c r="G955" s="244">
        <f>TRUNC(F955*1.2882,2)</f>
        <v>4.85</v>
      </c>
      <c r="H955" s="244">
        <f>TRUNC(F955*E955,2)</f>
        <v>358.15</v>
      </c>
      <c r="I955" s="244">
        <f>TRUNC(E955*G955,2)</f>
        <v>460.75</v>
      </c>
      <c r="J955" s="149"/>
      <c r="K955" s="149"/>
    </row>
    <row r="956" spans="1:9" ht="36">
      <c r="A956" s="33"/>
      <c r="B956" s="100" t="s">
        <v>1030</v>
      </c>
      <c r="C956" s="101" t="s">
        <v>838</v>
      </c>
      <c r="D956" s="22" t="s">
        <v>44</v>
      </c>
      <c r="E956" s="167">
        <v>1</v>
      </c>
      <c r="F956" s="24">
        <f>TRUNC(G960,2)</f>
        <v>3.77</v>
      </c>
      <c r="G956" s="239">
        <f>TRUNC(E956*F956,2)</f>
        <v>3.77</v>
      </c>
      <c r="H956" s="128"/>
      <c r="I956" s="128"/>
    </row>
    <row r="957" spans="1:9" ht="18.75">
      <c r="A957" s="33"/>
      <c r="B957" s="100" t="s">
        <v>964</v>
      </c>
      <c r="C957" s="101" t="s">
        <v>286</v>
      </c>
      <c r="D957" s="22" t="s">
        <v>7</v>
      </c>
      <c r="E957" s="167">
        <v>0.007</v>
      </c>
      <c r="F957" s="24">
        <f>TRUNC(19.85,2)</f>
        <v>19.85</v>
      </c>
      <c r="G957" s="128">
        <f>TRUNC(E957*F957,2)</f>
        <v>0.13</v>
      </c>
      <c r="H957" s="128"/>
      <c r="I957" s="128"/>
    </row>
    <row r="958" spans="1:9" ht="18.75">
      <c r="A958" s="33"/>
      <c r="B958" s="100" t="s">
        <v>968</v>
      </c>
      <c r="C958" s="101" t="s">
        <v>576</v>
      </c>
      <c r="D958" s="22" t="s">
        <v>7</v>
      </c>
      <c r="E958" s="167">
        <v>0.07</v>
      </c>
      <c r="F958" s="24">
        <f>TRUNC(25.18,2)</f>
        <v>25.18</v>
      </c>
      <c r="G958" s="128">
        <f>TRUNC(E958*F958,2)</f>
        <v>1.76</v>
      </c>
      <c r="H958" s="128"/>
      <c r="I958" s="128"/>
    </row>
    <row r="959" spans="1:9" ht="36">
      <c r="A959" s="33"/>
      <c r="B959" s="100" t="s">
        <v>1031</v>
      </c>
      <c r="C959" s="101" t="s">
        <v>1032</v>
      </c>
      <c r="D959" s="22" t="s">
        <v>39</v>
      </c>
      <c r="E959" s="167">
        <v>0.0042</v>
      </c>
      <c r="F959" s="24">
        <f>TRUNC(449.36,2)</f>
        <v>449.36</v>
      </c>
      <c r="G959" s="128">
        <f>TRUNC(E959*F959,2)</f>
        <v>1.88</v>
      </c>
      <c r="H959" s="128"/>
      <c r="I959" s="128"/>
    </row>
    <row r="960" spans="1:9" ht="18.75">
      <c r="A960" s="33"/>
      <c r="B960" s="100"/>
      <c r="C960" s="101"/>
      <c r="D960" s="22"/>
      <c r="E960" s="167" t="s">
        <v>5</v>
      </c>
      <c r="F960" s="24"/>
      <c r="G960" s="128">
        <f>TRUNC(SUM(G957:G959),2)</f>
        <v>3.77</v>
      </c>
      <c r="H960" s="128"/>
      <c r="I960" s="128"/>
    </row>
    <row r="961" spans="1:11" s="150" customFormat="1" ht="36">
      <c r="A961" s="211" t="s">
        <v>1033</v>
      </c>
      <c r="B961" s="235" t="s">
        <v>835</v>
      </c>
      <c r="C961" s="237" t="s">
        <v>839</v>
      </c>
      <c r="D961" s="156" t="s">
        <v>44</v>
      </c>
      <c r="E961" s="214">
        <v>474.44</v>
      </c>
      <c r="F961" s="157">
        <f>TRUNC(F962,2)</f>
        <v>4.98</v>
      </c>
      <c r="G961" s="244">
        <f>TRUNC(F961*1.2882,2)</f>
        <v>6.41</v>
      </c>
      <c r="H961" s="244">
        <f>TRUNC(F961*E961,2)</f>
        <v>2362.71</v>
      </c>
      <c r="I961" s="244">
        <f>TRUNC(E961*G961,2)</f>
        <v>3041.16</v>
      </c>
      <c r="J961" s="149"/>
      <c r="K961" s="149"/>
    </row>
    <row r="962" spans="1:9" ht="36">
      <c r="A962" s="31"/>
      <c r="B962" s="98" t="s">
        <v>835</v>
      </c>
      <c r="C962" s="99" t="s">
        <v>836</v>
      </c>
      <c r="D962" s="18" t="s">
        <v>44</v>
      </c>
      <c r="E962" s="169">
        <v>1</v>
      </c>
      <c r="F962" s="19">
        <f>TRUNC(G966,2)</f>
        <v>4.98</v>
      </c>
      <c r="G962" s="239">
        <f>TRUNC(E962*F962,2)</f>
        <v>4.98</v>
      </c>
      <c r="H962" s="128"/>
      <c r="I962" s="128"/>
    </row>
    <row r="963" spans="1:9" ht="36">
      <c r="A963" s="33"/>
      <c r="B963" s="100" t="s">
        <v>530</v>
      </c>
      <c r="C963" s="101" t="s">
        <v>531</v>
      </c>
      <c r="D963" s="22" t="s">
        <v>0</v>
      </c>
      <c r="E963" s="167">
        <v>0.0035</v>
      </c>
      <c r="F963" s="24">
        <f>TRUNC(341.42,2)</f>
        <v>341.42</v>
      </c>
      <c r="G963" s="128">
        <f>TRUNC(E963*F963,2)</f>
        <v>1.19</v>
      </c>
      <c r="H963" s="128"/>
      <c r="I963" s="128"/>
    </row>
    <row r="964" spans="1:9" ht="36">
      <c r="A964" s="33"/>
      <c r="B964" s="100" t="s">
        <v>40</v>
      </c>
      <c r="C964" s="101" t="s">
        <v>41</v>
      </c>
      <c r="D964" s="22" t="s">
        <v>7</v>
      </c>
      <c r="E964" s="167">
        <v>0.07725</v>
      </c>
      <c r="F964" s="24">
        <f>TRUNC(13.08,2)</f>
        <v>13.08</v>
      </c>
      <c r="G964" s="128">
        <f>TRUNC(E964*F964,2)</f>
        <v>1.01</v>
      </c>
      <c r="H964" s="128"/>
      <c r="I964" s="128"/>
    </row>
    <row r="965" spans="1:9" ht="18.75">
      <c r="A965" s="33"/>
      <c r="B965" s="100" t="s">
        <v>98</v>
      </c>
      <c r="C965" s="101" t="s">
        <v>532</v>
      </c>
      <c r="D965" s="22" t="s">
        <v>7</v>
      </c>
      <c r="E965" s="167">
        <v>0.1545</v>
      </c>
      <c r="F965" s="24">
        <f>TRUNC(18.05,2)</f>
        <v>18.05</v>
      </c>
      <c r="G965" s="128">
        <f>TRUNC(E965*F965,2)</f>
        <v>2.78</v>
      </c>
      <c r="H965" s="128"/>
      <c r="I965" s="128"/>
    </row>
    <row r="966" spans="1:9" ht="18.75">
      <c r="A966" s="33"/>
      <c r="B966" s="100"/>
      <c r="C966" s="101"/>
      <c r="D966" s="22"/>
      <c r="E966" s="167" t="s">
        <v>5</v>
      </c>
      <c r="F966" s="24"/>
      <c r="G966" s="128">
        <f>TRUNC(SUM(G963:G965),2)</f>
        <v>4.98</v>
      </c>
      <c r="H966" s="128"/>
      <c r="I966" s="128"/>
    </row>
    <row r="967" spans="1:9" ht="18.75">
      <c r="A967" s="29" t="s">
        <v>130</v>
      </c>
      <c r="B967" s="297"/>
      <c r="C967" s="297"/>
      <c r="D967" s="297"/>
      <c r="E967" s="296" t="s">
        <v>192</v>
      </c>
      <c r="F967" s="296"/>
      <c r="G967" s="296"/>
      <c r="H967" s="38">
        <f>H880+H885+H896+H914+H925+H931+H941+H949+H955+H961</f>
        <v>7734.799999999999</v>
      </c>
      <c r="I967" s="38">
        <f>I880+I885+I896+I914+I925+I931+I941+I949+I955+I961</f>
        <v>9960.329999999998</v>
      </c>
    </row>
    <row r="968" spans="1:11" ht="18.75">
      <c r="A968" s="93" t="s">
        <v>130</v>
      </c>
      <c r="B968" s="293"/>
      <c r="C968" s="294"/>
      <c r="D968" s="295"/>
      <c r="E968" s="298" t="s">
        <v>32</v>
      </c>
      <c r="F968" s="299"/>
      <c r="G968" s="300"/>
      <c r="H968" s="71">
        <f>H93+H106+H208+H351+H553+H703+H775+H853+H878+H967</f>
        <v>113387.71</v>
      </c>
      <c r="I968" s="71">
        <f>I93+I106+I208+I351+I553+I703+I775+I853+I878+I967</f>
        <v>146048.2</v>
      </c>
      <c r="K968" s="63"/>
    </row>
  </sheetData>
  <sheetProtection/>
  <mergeCells count="34">
    <mergeCell ref="D10:D11"/>
    <mergeCell ref="E10:E11"/>
    <mergeCell ref="F10:I10"/>
    <mergeCell ref="E93:G93"/>
    <mergeCell ref="E553:G553"/>
    <mergeCell ref="E967:G967"/>
    <mergeCell ref="B703:D703"/>
    <mergeCell ref="E106:G106"/>
    <mergeCell ref="E208:G208"/>
    <mergeCell ref="A9:G9"/>
    <mergeCell ref="A10:A11"/>
    <mergeCell ref="D3:G3"/>
    <mergeCell ref="D4:G4"/>
    <mergeCell ref="D5:G5"/>
    <mergeCell ref="D6:G6"/>
    <mergeCell ref="D7:G7"/>
    <mergeCell ref="D8:G8"/>
    <mergeCell ref="B10:B11"/>
    <mergeCell ref="C10:C11"/>
    <mergeCell ref="B967:D967"/>
    <mergeCell ref="B968:D968"/>
    <mergeCell ref="B553:D553"/>
    <mergeCell ref="E775:G775"/>
    <mergeCell ref="B775:D775"/>
    <mergeCell ref="E853:G853"/>
    <mergeCell ref="E968:G968"/>
    <mergeCell ref="B853:D853"/>
    <mergeCell ref="E878:G878"/>
    <mergeCell ref="B878:D878"/>
    <mergeCell ref="E703:G703"/>
    <mergeCell ref="B208:D208"/>
    <mergeCell ref="B106:D106"/>
    <mergeCell ref="E351:G351"/>
    <mergeCell ref="B351:D351"/>
  </mergeCells>
  <printOptions horizontalCentered="1"/>
  <pageMargins left="0.984251968503937" right="0.984251968503937" top="0.984251968503937" bottom="0.984251968503937" header="0.31496062992125984" footer="0.31496062992125984"/>
  <pageSetup fitToHeight="1000" horizontalDpi="300" verticalDpi="300" orientation="landscape" paperSize="9" scale="40" r:id="rId2"/>
  <headerFooter>
    <oddFooter>&amp;C&amp;A&amp;RPágina &amp;P de &amp;N</oddFooter>
  </headerFooter>
  <drawing r:id="rId1"/>
</worksheet>
</file>

<file path=xl/worksheets/sheet2.xml><?xml version="1.0" encoding="utf-8"?>
<worksheet xmlns="http://schemas.openxmlformats.org/spreadsheetml/2006/main" xmlns:r="http://schemas.openxmlformats.org/officeDocument/2006/relationships">
  <sheetPr codeName="Plan4"/>
  <dimension ref="A1:M153"/>
  <sheetViews>
    <sheetView tabSelected="1" view="pageBreakPreview" zoomScale="60" workbookViewId="0" topLeftCell="C145">
      <selection activeCell="C14" sqref="C14"/>
    </sheetView>
  </sheetViews>
  <sheetFormatPr defaultColWidth="9.140625" defaultRowHeight="15"/>
  <cols>
    <col min="1" max="1" width="17.8515625" style="34" customWidth="1"/>
    <col min="2" max="2" width="39.8515625" style="34" bestFit="1" customWidth="1"/>
    <col min="3" max="3" width="139.8515625" style="35" customWidth="1"/>
    <col min="4" max="4" width="12.7109375" style="34" bestFit="1" customWidth="1"/>
    <col min="5" max="5" width="20.7109375" style="173" bestFit="1" customWidth="1"/>
    <col min="6" max="6" width="15.7109375" style="36" bestFit="1" customWidth="1"/>
    <col min="7" max="7" width="18.57421875" style="37" customWidth="1"/>
    <col min="8" max="8" width="21.421875" style="37" bestFit="1" customWidth="1"/>
    <col min="9" max="9" width="21.7109375" style="37" customWidth="1"/>
    <col min="10" max="10" width="23.28125" style="12" customWidth="1"/>
    <col min="11" max="11" width="19.57421875" style="12" bestFit="1" customWidth="1"/>
    <col min="12" max="12" width="10.57421875" style="60" bestFit="1" customWidth="1"/>
    <col min="13" max="16384" width="9.140625" style="60" customWidth="1"/>
  </cols>
  <sheetData>
    <row r="1" spans="1:12" s="12" customFormat="1" ht="26.25">
      <c r="A1" s="10"/>
      <c r="B1" s="11"/>
      <c r="C1" s="84" t="s">
        <v>35</v>
      </c>
      <c r="D1" s="39"/>
      <c r="E1" s="40"/>
      <c r="F1" s="41"/>
      <c r="G1" s="246"/>
      <c r="H1" s="247"/>
      <c r="I1" s="247"/>
      <c r="J1" s="60"/>
      <c r="K1" s="60"/>
      <c r="L1" s="60"/>
    </row>
    <row r="2" spans="1:12" s="12" customFormat="1" ht="26.25">
      <c r="A2" s="13"/>
      <c r="B2" s="14"/>
      <c r="C2" s="85" t="s">
        <v>36</v>
      </c>
      <c r="D2" s="266" t="s">
        <v>1036</v>
      </c>
      <c r="E2" s="267"/>
      <c r="F2" s="267"/>
      <c r="G2" s="268"/>
      <c r="H2" s="247"/>
      <c r="I2" s="247"/>
      <c r="J2" s="60"/>
      <c r="K2" s="60"/>
      <c r="L2" s="60"/>
    </row>
    <row r="3" spans="1:12" s="12" customFormat="1" ht="26.25">
      <c r="A3" s="13"/>
      <c r="B3" s="14"/>
      <c r="C3" s="85" t="s">
        <v>37</v>
      </c>
      <c r="D3" s="308" t="s">
        <v>1034</v>
      </c>
      <c r="E3" s="309"/>
      <c r="F3" s="309"/>
      <c r="G3" s="310"/>
      <c r="H3" s="248"/>
      <c r="I3" s="248"/>
      <c r="J3" s="91"/>
      <c r="K3" s="91"/>
      <c r="L3" s="60"/>
    </row>
    <row r="4" spans="1:12" s="12" customFormat="1" ht="18.75" customHeight="1">
      <c r="A4" s="13"/>
      <c r="B4" s="14"/>
      <c r="C4" s="95" t="s">
        <v>323</v>
      </c>
      <c r="D4" s="308" t="s">
        <v>958</v>
      </c>
      <c r="E4" s="309"/>
      <c r="F4" s="309"/>
      <c r="G4" s="310"/>
      <c r="H4" s="249"/>
      <c r="I4" s="249"/>
      <c r="J4" s="90"/>
      <c r="K4" s="90"/>
      <c r="L4" s="60"/>
    </row>
    <row r="5" spans="1:12" s="12" customFormat="1" ht="18.75" customHeight="1">
      <c r="A5" s="13"/>
      <c r="B5" s="14"/>
      <c r="C5" s="95" t="s">
        <v>842</v>
      </c>
      <c r="D5" s="311" t="s">
        <v>324</v>
      </c>
      <c r="E5" s="312"/>
      <c r="F5" s="312"/>
      <c r="G5" s="313"/>
      <c r="H5" s="250"/>
      <c r="I5" s="250"/>
      <c r="J5" s="89"/>
      <c r="K5" s="89"/>
      <c r="L5" s="60"/>
    </row>
    <row r="6" spans="1:12" s="12" customFormat="1" ht="23.25">
      <c r="A6" s="13"/>
      <c r="B6" s="14"/>
      <c r="C6" s="86" t="s">
        <v>1035</v>
      </c>
      <c r="D6" s="314" t="s">
        <v>325</v>
      </c>
      <c r="E6" s="315"/>
      <c r="F6" s="315"/>
      <c r="G6" s="316"/>
      <c r="H6" s="251"/>
      <c r="I6" s="251"/>
      <c r="J6" s="88"/>
      <c r="K6" s="88"/>
      <c r="L6" s="60"/>
    </row>
    <row r="7" spans="1:12" s="12" customFormat="1" ht="23.25">
      <c r="A7" s="13"/>
      <c r="B7" s="14"/>
      <c r="C7" s="87"/>
      <c r="D7" s="314" t="s">
        <v>69</v>
      </c>
      <c r="E7" s="315"/>
      <c r="F7" s="315"/>
      <c r="G7" s="316"/>
      <c r="H7" s="251"/>
      <c r="I7" s="251"/>
      <c r="J7" s="88"/>
      <c r="K7" s="88"/>
      <c r="L7" s="60"/>
    </row>
    <row r="8" spans="1:12" s="12" customFormat="1" ht="20.25">
      <c r="A8" s="15"/>
      <c r="B8" s="16"/>
      <c r="C8" s="17"/>
      <c r="D8" s="317" t="s">
        <v>843</v>
      </c>
      <c r="E8" s="318"/>
      <c r="F8" s="318"/>
      <c r="G8" s="319"/>
      <c r="H8" s="252"/>
      <c r="I8" s="252"/>
      <c r="J8" s="92"/>
      <c r="K8" s="92"/>
      <c r="L8" s="60"/>
    </row>
    <row r="9" spans="1:11" ht="18.75">
      <c r="A9" s="304" t="s">
        <v>1037</v>
      </c>
      <c r="B9" s="305"/>
      <c r="C9" s="305"/>
      <c r="D9" s="305"/>
      <c r="E9" s="305"/>
      <c r="F9" s="305"/>
      <c r="G9" s="306"/>
      <c r="H9" s="253"/>
      <c r="I9" s="253"/>
      <c r="J9" s="60"/>
      <c r="K9" s="60"/>
    </row>
    <row r="10" spans="1:9" ht="18.75">
      <c r="A10" s="307" t="s">
        <v>1</v>
      </c>
      <c r="B10" s="320" t="s">
        <v>70</v>
      </c>
      <c r="C10" s="320" t="s">
        <v>2</v>
      </c>
      <c r="D10" s="307" t="s">
        <v>0</v>
      </c>
      <c r="E10" s="323" t="s">
        <v>3</v>
      </c>
      <c r="F10" s="324" t="s">
        <v>6</v>
      </c>
      <c r="G10" s="325"/>
      <c r="H10" s="325"/>
      <c r="I10" s="325"/>
    </row>
    <row r="11" spans="1:9" ht="19.5" thickBot="1">
      <c r="A11" s="307"/>
      <c r="B11" s="321"/>
      <c r="C11" s="322"/>
      <c r="D11" s="307"/>
      <c r="E11" s="323"/>
      <c r="F11" s="9" t="s">
        <v>4</v>
      </c>
      <c r="G11" s="254" t="s">
        <v>105</v>
      </c>
      <c r="H11" s="254" t="s">
        <v>844</v>
      </c>
      <c r="I11" s="254" t="s">
        <v>104</v>
      </c>
    </row>
    <row r="12" spans="1:11" s="152" customFormat="1" ht="18.75">
      <c r="A12" s="273" t="s">
        <v>16</v>
      </c>
      <c r="B12" s="282"/>
      <c r="C12" s="283" t="s">
        <v>50</v>
      </c>
      <c r="D12" s="276"/>
      <c r="E12" s="277"/>
      <c r="F12" s="279"/>
      <c r="G12" s="278"/>
      <c r="H12" s="278"/>
      <c r="I12" s="272"/>
      <c r="J12" s="281"/>
      <c r="K12" s="151"/>
    </row>
    <row r="13" spans="1:9" s="154" customFormat="1" ht="36">
      <c r="A13" s="154" t="s">
        <v>21</v>
      </c>
      <c r="B13" s="154" t="s">
        <v>94</v>
      </c>
      <c r="C13" s="154" t="s">
        <v>845</v>
      </c>
      <c r="D13" s="154" t="s">
        <v>44</v>
      </c>
      <c r="E13" s="177">
        <v>12</v>
      </c>
      <c r="F13" s="244">
        <f>TRUNC('MEMÓRIA DESONERADA'!F13,2)</f>
        <v>321.02</v>
      </c>
      <c r="G13" s="244">
        <f aca="true" t="shared" si="0" ref="G13:G29">TRUNC(F13*1.2882,2)</f>
        <v>413.53</v>
      </c>
      <c r="H13" s="244">
        <f aca="true" t="shared" si="1" ref="H13:H29">TRUNC(F13*E13,2)</f>
        <v>3852.24</v>
      </c>
      <c r="I13" s="244">
        <f aca="true" t="shared" si="2" ref="I13:I29">TRUNC(E13*G13,2)</f>
        <v>4962.36</v>
      </c>
    </row>
    <row r="14" spans="1:11" s="150" customFormat="1" ht="36">
      <c r="A14" s="153" t="s">
        <v>22</v>
      </c>
      <c r="B14" s="154" t="s">
        <v>326</v>
      </c>
      <c r="C14" s="155" t="s">
        <v>850</v>
      </c>
      <c r="D14" s="156" t="s">
        <v>0</v>
      </c>
      <c r="E14" s="178">
        <v>11</v>
      </c>
      <c r="F14" s="245">
        <f>TRUNC('MEMÓRIA DESONERADA'!F23,2)</f>
        <v>19.04</v>
      </c>
      <c r="G14" s="244">
        <f t="shared" si="0"/>
        <v>24.52</v>
      </c>
      <c r="H14" s="244">
        <f t="shared" si="1"/>
        <v>209.44</v>
      </c>
      <c r="I14" s="244">
        <f t="shared" si="2"/>
        <v>269.72</v>
      </c>
      <c r="J14" s="149"/>
      <c r="K14" s="149"/>
    </row>
    <row r="15" spans="1:11" s="150" customFormat="1" ht="36">
      <c r="A15" s="153" t="s">
        <v>663</v>
      </c>
      <c r="B15" s="154" t="s">
        <v>327</v>
      </c>
      <c r="C15" s="155" t="s">
        <v>328</v>
      </c>
      <c r="D15" s="156" t="s">
        <v>39</v>
      </c>
      <c r="E15" s="178">
        <v>8.42</v>
      </c>
      <c r="F15" s="245">
        <f>TRUNC('MEMÓRIA DESONERADA'!F27,2)</f>
        <v>68.98</v>
      </c>
      <c r="G15" s="244">
        <f t="shared" si="0"/>
        <v>88.86</v>
      </c>
      <c r="H15" s="244">
        <f t="shared" si="1"/>
        <v>580.81</v>
      </c>
      <c r="I15" s="244">
        <f t="shared" si="2"/>
        <v>748.2</v>
      </c>
      <c r="J15" s="149"/>
      <c r="K15" s="149"/>
    </row>
    <row r="16" spans="1:11" s="150" customFormat="1" ht="18.75">
      <c r="A16" s="153" t="s">
        <v>23</v>
      </c>
      <c r="B16" s="154" t="s">
        <v>329</v>
      </c>
      <c r="C16" s="155" t="s">
        <v>851</v>
      </c>
      <c r="D16" s="156" t="s">
        <v>0</v>
      </c>
      <c r="E16" s="178">
        <v>5</v>
      </c>
      <c r="F16" s="245">
        <f>TRUNC('MEMÓRIA DESONERADA'!F31,2)</f>
        <v>16.02</v>
      </c>
      <c r="G16" s="244">
        <f t="shared" si="0"/>
        <v>20.63</v>
      </c>
      <c r="H16" s="244">
        <f t="shared" si="1"/>
        <v>80.1</v>
      </c>
      <c r="I16" s="244">
        <f t="shared" si="2"/>
        <v>103.15</v>
      </c>
      <c r="J16" s="149"/>
      <c r="K16" s="149"/>
    </row>
    <row r="17" spans="1:11" s="150" customFormat="1" ht="36">
      <c r="A17" s="153" t="s">
        <v>24</v>
      </c>
      <c r="B17" s="154" t="s">
        <v>330</v>
      </c>
      <c r="C17" s="155" t="s">
        <v>852</v>
      </c>
      <c r="D17" s="156" t="s">
        <v>52</v>
      </c>
      <c r="E17" s="178">
        <v>3.5</v>
      </c>
      <c r="F17" s="245">
        <f>TRUNC('MEMÓRIA DESONERADA'!F35,2)</f>
        <v>32.06</v>
      </c>
      <c r="G17" s="244">
        <f t="shared" si="0"/>
        <v>41.29</v>
      </c>
      <c r="H17" s="244">
        <f t="shared" si="1"/>
        <v>112.21</v>
      </c>
      <c r="I17" s="244">
        <f t="shared" si="2"/>
        <v>144.51</v>
      </c>
      <c r="J17" s="149"/>
      <c r="K17" s="149"/>
    </row>
    <row r="18" spans="1:11" s="150" customFormat="1" ht="18.75">
      <c r="A18" s="153" t="s">
        <v>25</v>
      </c>
      <c r="B18" s="154" t="s">
        <v>963</v>
      </c>
      <c r="C18" s="155" t="s">
        <v>339</v>
      </c>
      <c r="D18" s="156" t="s">
        <v>52</v>
      </c>
      <c r="E18" s="178">
        <v>39.52</v>
      </c>
      <c r="F18" s="245">
        <f>TRUNC('MEMÓRIA DESONERADA'!F39,2)</f>
        <v>2.4</v>
      </c>
      <c r="G18" s="244">
        <f t="shared" si="0"/>
        <v>3.09</v>
      </c>
      <c r="H18" s="244">
        <f t="shared" si="1"/>
        <v>94.84</v>
      </c>
      <c r="I18" s="244">
        <f t="shared" si="2"/>
        <v>122.11</v>
      </c>
      <c r="J18" s="149"/>
      <c r="K18" s="149"/>
    </row>
    <row r="19" spans="1:11" s="150" customFormat="1" ht="54">
      <c r="A19" s="153" t="s">
        <v>28</v>
      </c>
      <c r="B19" s="154" t="s">
        <v>341</v>
      </c>
      <c r="C19" s="155" t="s">
        <v>853</v>
      </c>
      <c r="D19" s="156" t="s">
        <v>44</v>
      </c>
      <c r="E19" s="178">
        <v>75.63</v>
      </c>
      <c r="F19" s="245">
        <f>TRUNC('MEMÓRIA DESONERADA'!F43,2)</f>
        <v>18.32</v>
      </c>
      <c r="G19" s="244">
        <f t="shared" si="0"/>
        <v>23.59</v>
      </c>
      <c r="H19" s="244">
        <f t="shared" si="1"/>
        <v>1385.54</v>
      </c>
      <c r="I19" s="244">
        <f t="shared" si="2"/>
        <v>1784.11</v>
      </c>
      <c r="J19" s="149"/>
      <c r="K19" s="149"/>
    </row>
    <row r="20" spans="1:11" s="150" customFormat="1" ht="36">
      <c r="A20" s="153" t="s">
        <v>29</v>
      </c>
      <c r="B20" s="154" t="s">
        <v>345</v>
      </c>
      <c r="C20" s="155" t="s">
        <v>333</v>
      </c>
      <c r="D20" s="156" t="s">
        <v>106</v>
      </c>
      <c r="E20" s="178">
        <v>43.06</v>
      </c>
      <c r="F20" s="245">
        <f>TRUNC('MEMÓRIA DESONERADA'!F46,2)</f>
        <v>22.89</v>
      </c>
      <c r="G20" s="244">
        <f t="shared" si="0"/>
        <v>29.48</v>
      </c>
      <c r="H20" s="244">
        <f t="shared" si="1"/>
        <v>985.64</v>
      </c>
      <c r="I20" s="244">
        <f t="shared" si="2"/>
        <v>1269.4</v>
      </c>
      <c r="J20" s="149"/>
      <c r="K20" s="149"/>
    </row>
    <row r="21" spans="1:11" s="150" customFormat="1" ht="39.75" customHeight="1">
      <c r="A21" s="153" t="s">
        <v>30</v>
      </c>
      <c r="B21" s="154" t="s">
        <v>346</v>
      </c>
      <c r="C21" s="155" t="s">
        <v>855</v>
      </c>
      <c r="D21" s="156" t="s">
        <v>44</v>
      </c>
      <c r="E21" s="178">
        <v>11.58</v>
      </c>
      <c r="F21" s="157">
        <f>TRUNC('MEMÓRIA DESONERADA'!F53,2)</f>
        <v>20.2</v>
      </c>
      <c r="G21" s="244">
        <f t="shared" si="0"/>
        <v>26.02</v>
      </c>
      <c r="H21" s="244">
        <f t="shared" si="1"/>
        <v>233.91</v>
      </c>
      <c r="I21" s="244">
        <f t="shared" si="2"/>
        <v>301.31</v>
      </c>
      <c r="J21" s="149"/>
      <c r="K21" s="149"/>
    </row>
    <row r="22" spans="1:11" s="150" customFormat="1" ht="18.75">
      <c r="A22" s="153" t="s">
        <v>31</v>
      </c>
      <c r="B22" s="154" t="s">
        <v>621</v>
      </c>
      <c r="C22" s="155" t="s">
        <v>622</v>
      </c>
      <c r="D22" s="156" t="s">
        <v>39</v>
      </c>
      <c r="E22" s="178">
        <v>59.8</v>
      </c>
      <c r="F22" s="157">
        <f>TRUNC('MEMÓRIA DESONERADA'!F56,2)</f>
        <v>18.39</v>
      </c>
      <c r="G22" s="244">
        <f t="shared" si="0"/>
        <v>23.68</v>
      </c>
      <c r="H22" s="244">
        <f t="shared" si="1"/>
        <v>1099.72</v>
      </c>
      <c r="I22" s="244">
        <f t="shared" si="2"/>
        <v>1416.06</v>
      </c>
      <c r="J22" s="149"/>
      <c r="K22" s="149"/>
    </row>
    <row r="23" spans="1:11" s="150" customFormat="1" ht="36">
      <c r="A23" s="153" t="s">
        <v>331</v>
      </c>
      <c r="B23" s="154" t="s">
        <v>966</v>
      </c>
      <c r="C23" s="155" t="s">
        <v>857</v>
      </c>
      <c r="D23" s="156" t="s">
        <v>39</v>
      </c>
      <c r="E23" s="178">
        <v>0.38</v>
      </c>
      <c r="F23" s="157">
        <f>TRUNC('MEMÓRIA DESONERADA'!F61,2)</f>
        <v>253.97</v>
      </c>
      <c r="G23" s="244">
        <f t="shared" si="0"/>
        <v>327.16</v>
      </c>
      <c r="H23" s="244">
        <f t="shared" si="1"/>
        <v>96.5</v>
      </c>
      <c r="I23" s="244">
        <f t="shared" si="2"/>
        <v>124.32</v>
      </c>
      <c r="J23" s="149"/>
      <c r="K23" s="149"/>
    </row>
    <row r="24" spans="1:11" s="150" customFormat="1" ht="18.75">
      <c r="A24" s="153" t="s">
        <v>332</v>
      </c>
      <c r="B24" s="154" t="s">
        <v>817</v>
      </c>
      <c r="C24" s="155" t="s">
        <v>818</v>
      </c>
      <c r="D24" s="156" t="s">
        <v>106</v>
      </c>
      <c r="E24" s="178">
        <v>175.57</v>
      </c>
      <c r="F24" s="157">
        <f>TRUNC('MEMÓRIA DESONERADA'!F68,2)</f>
        <v>5.6</v>
      </c>
      <c r="G24" s="244">
        <f t="shared" si="0"/>
        <v>7.21</v>
      </c>
      <c r="H24" s="244">
        <f t="shared" si="1"/>
        <v>983.19</v>
      </c>
      <c r="I24" s="244">
        <f t="shared" si="2"/>
        <v>1265.85</v>
      </c>
      <c r="J24" s="149"/>
      <c r="K24" s="149"/>
    </row>
    <row r="25" spans="1:11" s="150" customFormat="1" ht="36">
      <c r="A25" s="153" t="s">
        <v>334</v>
      </c>
      <c r="B25" s="154" t="s">
        <v>347</v>
      </c>
      <c r="C25" s="155" t="s">
        <v>859</v>
      </c>
      <c r="D25" s="156" t="s">
        <v>52</v>
      </c>
      <c r="E25" s="178">
        <v>11.95</v>
      </c>
      <c r="F25" s="157">
        <f>TRUNC('MEMÓRIA DESONERADA'!F75,2)</f>
        <v>46.47</v>
      </c>
      <c r="G25" s="244">
        <f t="shared" si="0"/>
        <v>59.86</v>
      </c>
      <c r="H25" s="244">
        <f t="shared" si="1"/>
        <v>555.31</v>
      </c>
      <c r="I25" s="244">
        <f t="shared" si="2"/>
        <v>715.32</v>
      </c>
      <c r="J25" s="149"/>
      <c r="K25" s="149"/>
    </row>
    <row r="26" spans="1:11" s="150" customFormat="1" ht="18.75">
      <c r="A26" s="153" t="s">
        <v>335</v>
      </c>
      <c r="B26" s="154" t="s">
        <v>973</v>
      </c>
      <c r="C26" s="155" t="s">
        <v>832</v>
      </c>
      <c r="D26" s="156" t="s">
        <v>52</v>
      </c>
      <c r="E26" s="178">
        <v>150</v>
      </c>
      <c r="F26" s="157">
        <f>TRUNC('MEMÓRIA DESONERADA'!F78,2)</f>
        <v>0.61</v>
      </c>
      <c r="G26" s="244">
        <f t="shared" si="0"/>
        <v>0.78</v>
      </c>
      <c r="H26" s="244">
        <f t="shared" si="1"/>
        <v>91.5</v>
      </c>
      <c r="I26" s="244">
        <f t="shared" si="2"/>
        <v>117</v>
      </c>
      <c r="J26" s="149"/>
      <c r="K26" s="149"/>
    </row>
    <row r="27" spans="1:11" s="150" customFormat="1" ht="36">
      <c r="A27" s="153" t="s">
        <v>336</v>
      </c>
      <c r="B27" s="154" t="s">
        <v>348</v>
      </c>
      <c r="C27" s="155" t="s">
        <v>860</v>
      </c>
      <c r="D27" s="156" t="s">
        <v>0</v>
      </c>
      <c r="E27" s="178">
        <v>10</v>
      </c>
      <c r="F27" s="157">
        <f>TRUNC('MEMÓRIA DESONERADA'!F82,2)</f>
        <v>4.64</v>
      </c>
      <c r="G27" s="244">
        <f t="shared" si="0"/>
        <v>5.97</v>
      </c>
      <c r="H27" s="244">
        <f t="shared" si="1"/>
        <v>46.4</v>
      </c>
      <c r="I27" s="244">
        <f t="shared" si="2"/>
        <v>59.7</v>
      </c>
      <c r="J27" s="149"/>
      <c r="K27" s="149"/>
    </row>
    <row r="28" spans="1:11" s="150" customFormat="1" ht="54">
      <c r="A28" s="153" t="s">
        <v>337</v>
      </c>
      <c r="B28" s="154" t="s">
        <v>665</v>
      </c>
      <c r="C28" s="155" t="s">
        <v>861</v>
      </c>
      <c r="D28" s="156" t="s">
        <v>44</v>
      </c>
      <c r="E28" s="178">
        <v>20.64</v>
      </c>
      <c r="F28" s="157">
        <f>TRUNC('MEMÓRIA DESONERADA'!F85,2)</f>
        <v>8.19</v>
      </c>
      <c r="G28" s="244">
        <f t="shared" si="0"/>
        <v>10.55</v>
      </c>
      <c r="H28" s="244">
        <f t="shared" si="1"/>
        <v>169.04</v>
      </c>
      <c r="I28" s="244">
        <f t="shared" si="2"/>
        <v>217.75</v>
      </c>
      <c r="J28" s="149"/>
      <c r="K28" s="149"/>
    </row>
    <row r="29" spans="1:11" s="150" customFormat="1" ht="36">
      <c r="A29" s="153" t="s">
        <v>338</v>
      </c>
      <c r="B29" s="154" t="s">
        <v>664</v>
      </c>
      <c r="C29" s="155" t="s">
        <v>862</v>
      </c>
      <c r="D29" s="156" t="s">
        <v>44</v>
      </c>
      <c r="E29" s="178">
        <v>20.64</v>
      </c>
      <c r="F29" s="157">
        <f>TRUNC('MEMÓRIA DESONERADA'!F89,2)</f>
        <v>24.04</v>
      </c>
      <c r="G29" s="244">
        <f t="shared" si="0"/>
        <v>30.96</v>
      </c>
      <c r="H29" s="244">
        <f t="shared" si="1"/>
        <v>496.18</v>
      </c>
      <c r="I29" s="244">
        <f t="shared" si="2"/>
        <v>639.01</v>
      </c>
      <c r="J29" s="149"/>
      <c r="K29" s="149"/>
    </row>
    <row r="30" spans="1:13" s="72" customFormat="1" ht="18.75">
      <c r="A30" s="29" t="s">
        <v>130</v>
      </c>
      <c r="B30" s="284"/>
      <c r="C30" s="256"/>
      <c r="D30" s="257"/>
      <c r="E30" s="298" t="s">
        <v>34</v>
      </c>
      <c r="F30" s="299"/>
      <c r="G30" s="300"/>
      <c r="H30" s="38">
        <f>H13+H14+H15+H16+H17+H18+H19+H20+H21+H22+H23+H24+H25+H26+H27+H28+H29</f>
        <v>11072.570000000002</v>
      </c>
      <c r="I30" s="38">
        <f>I13+I14+I15+I16+I17+I18+I19+I20+I21+I22+I23+I24+I25+I26+I27+I28+I29</f>
        <v>14259.88</v>
      </c>
      <c r="J30" s="12"/>
      <c r="K30" s="12"/>
      <c r="L30" s="60"/>
      <c r="M30" s="60"/>
    </row>
    <row r="31" spans="1:11" s="152" customFormat="1" ht="18.75">
      <c r="A31" s="273" t="s">
        <v>26</v>
      </c>
      <c r="B31" s="282"/>
      <c r="C31" s="283" t="s">
        <v>841</v>
      </c>
      <c r="D31" s="276"/>
      <c r="E31" s="277"/>
      <c r="F31" s="279"/>
      <c r="G31" s="278"/>
      <c r="H31" s="278"/>
      <c r="I31" s="272"/>
      <c r="J31" s="281"/>
      <c r="K31" s="151"/>
    </row>
    <row r="32" spans="1:11" s="150" customFormat="1" ht="36">
      <c r="A32" s="153" t="s">
        <v>27</v>
      </c>
      <c r="B32" s="154" t="s">
        <v>161</v>
      </c>
      <c r="C32" s="155" t="s">
        <v>283</v>
      </c>
      <c r="D32" s="156" t="s">
        <v>39</v>
      </c>
      <c r="E32" s="178">
        <v>0.66</v>
      </c>
      <c r="F32" s="157">
        <f>TRUNC('MEMÓRIA DESONERADA'!F95,2)</f>
        <v>1424.23</v>
      </c>
      <c r="G32" s="244">
        <f>TRUNC(F32*1.2882,2)</f>
        <v>1834.69</v>
      </c>
      <c r="H32" s="244">
        <f>TRUNC(F32*E32,2)</f>
        <v>939.99</v>
      </c>
      <c r="I32" s="244">
        <f>TRUNC(E32*G32,2)</f>
        <v>1210.89</v>
      </c>
      <c r="J32" s="149"/>
      <c r="K32" s="149"/>
    </row>
    <row r="33" spans="1:11" ht="18.75">
      <c r="A33" s="29" t="s">
        <v>130</v>
      </c>
      <c r="B33" s="301"/>
      <c r="C33" s="302"/>
      <c r="D33" s="303"/>
      <c r="E33" s="298" t="s">
        <v>33</v>
      </c>
      <c r="F33" s="299"/>
      <c r="G33" s="300"/>
      <c r="H33" s="38">
        <f>H32</f>
        <v>939.99</v>
      </c>
      <c r="I33" s="38">
        <f>I32</f>
        <v>1210.89</v>
      </c>
      <c r="K33" s="62"/>
    </row>
    <row r="34" spans="1:11" s="152" customFormat="1" ht="18.75">
      <c r="A34" s="273" t="s">
        <v>51</v>
      </c>
      <c r="B34" s="274"/>
      <c r="C34" s="283" t="s">
        <v>360</v>
      </c>
      <c r="D34" s="276"/>
      <c r="E34" s="277"/>
      <c r="F34" s="279"/>
      <c r="G34" s="278"/>
      <c r="H34" s="278"/>
      <c r="I34" s="272"/>
      <c r="J34" s="281"/>
      <c r="K34" s="151"/>
    </row>
    <row r="35" spans="1:11" s="150" customFormat="1" ht="54">
      <c r="A35" s="153" t="s">
        <v>42</v>
      </c>
      <c r="B35" s="154" t="s">
        <v>361</v>
      </c>
      <c r="C35" s="155" t="s">
        <v>863</v>
      </c>
      <c r="D35" s="156" t="s">
        <v>44</v>
      </c>
      <c r="E35" s="178">
        <v>58.88</v>
      </c>
      <c r="F35" s="157">
        <f>TRUNC('MEMÓRIA DESONERADA'!F108,2)</f>
        <v>64.41</v>
      </c>
      <c r="G35" s="244">
        <f aca="true" t="shared" si="3" ref="G35:G47">TRUNC(F35*1.2882,2)</f>
        <v>82.97</v>
      </c>
      <c r="H35" s="244">
        <f aca="true" t="shared" si="4" ref="H35:H47">TRUNC(F35*E35,2)</f>
        <v>3792.46</v>
      </c>
      <c r="I35" s="244">
        <f aca="true" t="shared" si="5" ref="I35:I47">TRUNC(E35*G35,2)</f>
        <v>4885.27</v>
      </c>
      <c r="J35" s="149"/>
      <c r="K35" s="149"/>
    </row>
    <row r="36" spans="1:11" s="150" customFormat="1" ht="54">
      <c r="A36" s="153" t="s">
        <v>56</v>
      </c>
      <c r="B36" s="154" t="s">
        <v>233</v>
      </c>
      <c r="C36" s="155" t="s">
        <v>865</v>
      </c>
      <c r="D36" s="156" t="s">
        <v>44</v>
      </c>
      <c r="E36" s="178">
        <v>170</v>
      </c>
      <c r="F36" s="157">
        <f>TRUNC('MEMÓRIA DESONERADA'!F116,2)</f>
        <v>24.39</v>
      </c>
      <c r="G36" s="244">
        <f t="shared" si="3"/>
        <v>31.41</v>
      </c>
      <c r="H36" s="244">
        <f t="shared" si="4"/>
        <v>4146.3</v>
      </c>
      <c r="I36" s="244">
        <f t="shared" si="5"/>
        <v>5339.7</v>
      </c>
      <c r="J36" s="149"/>
      <c r="K36" s="149"/>
    </row>
    <row r="37" spans="1:11" s="190" customFormat="1" ht="36">
      <c r="A37" s="184" t="s">
        <v>367</v>
      </c>
      <c r="B37" s="185" t="s">
        <v>976</v>
      </c>
      <c r="C37" s="186" t="s">
        <v>375</v>
      </c>
      <c r="D37" s="187" t="s">
        <v>44</v>
      </c>
      <c r="E37" s="148">
        <v>39.78</v>
      </c>
      <c r="F37" s="188">
        <f>TRUNC('MEMÓRIA DESONERADA'!F122,2)</f>
        <v>92.2</v>
      </c>
      <c r="G37" s="244">
        <f t="shared" si="3"/>
        <v>118.77</v>
      </c>
      <c r="H37" s="244">
        <f t="shared" si="4"/>
        <v>3667.71</v>
      </c>
      <c r="I37" s="244">
        <f t="shared" si="5"/>
        <v>4724.67</v>
      </c>
      <c r="J37" s="189"/>
      <c r="K37" s="189"/>
    </row>
    <row r="38" spans="1:11" s="190" customFormat="1" ht="18.75">
      <c r="A38" s="184" t="s">
        <v>377</v>
      </c>
      <c r="B38" s="185" t="s">
        <v>867</v>
      </c>
      <c r="C38" s="186" t="s">
        <v>667</v>
      </c>
      <c r="D38" s="187" t="s">
        <v>106</v>
      </c>
      <c r="E38" s="148">
        <v>15.18</v>
      </c>
      <c r="F38" s="188">
        <f>TRUNC('MEMÓRIA DESONERADA'!F130,2)</f>
        <v>156.65</v>
      </c>
      <c r="G38" s="244">
        <f t="shared" si="3"/>
        <v>201.79</v>
      </c>
      <c r="H38" s="244">
        <f t="shared" si="4"/>
        <v>2377.94</v>
      </c>
      <c r="I38" s="244">
        <f t="shared" si="5"/>
        <v>3063.17</v>
      </c>
      <c r="J38" s="189"/>
      <c r="K38" s="189"/>
    </row>
    <row r="39" spans="1:11" s="190" customFormat="1" ht="18.75">
      <c r="A39" s="184" t="s">
        <v>388</v>
      </c>
      <c r="B39" s="185" t="s">
        <v>868</v>
      </c>
      <c r="C39" s="186" t="s">
        <v>666</v>
      </c>
      <c r="D39" s="187" t="s">
        <v>106</v>
      </c>
      <c r="E39" s="148">
        <v>4.69</v>
      </c>
      <c r="F39" s="188">
        <f>TRUNC('MEMÓRIA DESONERADA'!F139,2)</f>
        <v>267.21</v>
      </c>
      <c r="G39" s="244">
        <f t="shared" si="3"/>
        <v>344.21</v>
      </c>
      <c r="H39" s="244">
        <f t="shared" si="4"/>
        <v>1253.21</v>
      </c>
      <c r="I39" s="244">
        <f t="shared" si="5"/>
        <v>1614.34</v>
      </c>
      <c r="J39" s="189"/>
      <c r="K39" s="189"/>
    </row>
    <row r="40" spans="1:11" s="190" customFormat="1" ht="36">
      <c r="A40" s="184" t="s">
        <v>389</v>
      </c>
      <c r="B40" s="185" t="s">
        <v>980</v>
      </c>
      <c r="C40" s="186" t="s">
        <v>985</v>
      </c>
      <c r="D40" s="187" t="s">
        <v>44</v>
      </c>
      <c r="E40" s="148">
        <v>74.38</v>
      </c>
      <c r="F40" s="188">
        <f>TRUNC('MEMÓRIA DESONERADA'!F149,2)</f>
        <v>90.77</v>
      </c>
      <c r="G40" s="244">
        <f t="shared" si="3"/>
        <v>116.92</v>
      </c>
      <c r="H40" s="244">
        <f t="shared" si="4"/>
        <v>6751.47</v>
      </c>
      <c r="I40" s="244">
        <f t="shared" si="5"/>
        <v>8696.5</v>
      </c>
      <c r="J40" s="189"/>
      <c r="K40" s="189"/>
    </row>
    <row r="41" spans="1:11" s="190" customFormat="1" ht="36">
      <c r="A41" s="184" t="s">
        <v>390</v>
      </c>
      <c r="B41" s="185" t="s">
        <v>391</v>
      </c>
      <c r="C41" s="186" t="s">
        <v>392</v>
      </c>
      <c r="D41" s="187" t="s">
        <v>52</v>
      </c>
      <c r="E41" s="148">
        <v>58.62</v>
      </c>
      <c r="F41" s="188">
        <f>TRUNC('MEMÓRIA DESONERADA'!F157,2)</f>
        <v>34.63</v>
      </c>
      <c r="G41" s="244">
        <f t="shared" si="3"/>
        <v>44.61</v>
      </c>
      <c r="H41" s="244">
        <f t="shared" si="4"/>
        <v>2030.01</v>
      </c>
      <c r="I41" s="244">
        <f t="shared" si="5"/>
        <v>2615.03</v>
      </c>
      <c r="J41" s="189"/>
      <c r="K41" s="189"/>
    </row>
    <row r="42" spans="1:11" s="190" customFormat="1" ht="18.75">
      <c r="A42" s="184" t="s">
        <v>668</v>
      </c>
      <c r="B42" s="185" t="s">
        <v>873</v>
      </c>
      <c r="C42" s="186" t="s">
        <v>624</v>
      </c>
      <c r="D42" s="187" t="s">
        <v>155</v>
      </c>
      <c r="E42" s="148">
        <v>14.8</v>
      </c>
      <c r="F42" s="188">
        <f>TRUNC('MEMÓRIA DESONERADA'!F166,2)</f>
        <v>13.21</v>
      </c>
      <c r="G42" s="244">
        <f t="shared" si="3"/>
        <v>17.01</v>
      </c>
      <c r="H42" s="244">
        <f t="shared" si="4"/>
        <v>195.5</v>
      </c>
      <c r="I42" s="244">
        <f t="shared" si="5"/>
        <v>251.74</v>
      </c>
      <c r="J42" s="189"/>
      <c r="K42" s="189"/>
    </row>
    <row r="43" spans="1:11" s="150" customFormat="1" ht="72">
      <c r="A43" s="153" t="s">
        <v>397</v>
      </c>
      <c r="B43" s="154" t="s">
        <v>168</v>
      </c>
      <c r="C43" s="155" t="s">
        <v>872</v>
      </c>
      <c r="D43" s="156" t="s">
        <v>52</v>
      </c>
      <c r="E43" s="178">
        <v>5.95</v>
      </c>
      <c r="F43" s="157">
        <f>TRUNC('MEMÓRIA DESONERADA'!F173,2)</f>
        <v>47.99</v>
      </c>
      <c r="G43" s="244">
        <f t="shared" si="3"/>
        <v>61.82</v>
      </c>
      <c r="H43" s="244">
        <f t="shared" si="4"/>
        <v>285.54</v>
      </c>
      <c r="I43" s="244">
        <f t="shared" si="5"/>
        <v>367.82</v>
      </c>
      <c r="J43" s="149"/>
      <c r="K43" s="149"/>
    </row>
    <row r="44" spans="1:11" s="150" customFormat="1" ht="36">
      <c r="A44" s="153" t="s">
        <v>398</v>
      </c>
      <c r="B44" s="154" t="s">
        <v>404</v>
      </c>
      <c r="C44" s="155" t="s">
        <v>874</v>
      </c>
      <c r="D44" s="156" t="s">
        <v>52</v>
      </c>
      <c r="E44" s="178">
        <v>2.5</v>
      </c>
      <c r="F44" s="157">
        <f>TRUNC('MEMÓRIA DESONERADA'!F181,2)</f>
        <v>55.21</v>
      </c>
      <c r="G44" s="244">
        <f t="shared" si="3"/>
        <v>71.12</v>
      </c>
      <c r="H44" s="244">
        <f t="shared" si="4"/>
        <v>138.02</v>
      </c>
      <c r="I44" s="244">
        <f t="shared" si="5"/>
        <v>177.8</v>
      </c>
      <c r="J44" s="149"/>
      <c r="K44" s="149"/>
    </row>
    <row r="45" spans="1:11" s="150" customFormat="1" ht="54">
      <c r="A45" s="153" t="s">
        <v>403</v>
      </c>
      <c r="B45" s="154" t="s">
        <v>171</v>
      </c>
      <c r="C45" s="155" t="s">
        <v>875</v>
      </c>
      <c r="D45" s="156" t="s">
        <v>52</v>
      </c>
      <c r="E45" s="178">
        <v>1.86</v>
      </c>
      <c r="F45" s="157">
        <f>TRUNC('MEMÓRIA DESONERADA'!F186,2)</f>
        <v>38.95</v>
      </c>
      <c r="G45" s="244">
        <f t="shared" si="3"/>
        <v>50.17</v>
      </c>
      <c r="H45" s="244">
        <f t="shared" si="4"/>
        <v>72.44</v>
      </c>
      <c r="I45" s="244">
        <f t="shared" si="5"/>
        <v>93.31</v>
      </c>
      <c r="J45" s="149"/>
      <c r="K45" s="149"/>
    </row>
    <row r="46" spans="1:11" s="150" customFormat="1" ht="54">
      <c r="A46" s="153" t="s">
        <v>407</v>
      </c>
      <c r="B46" s="154" t="s">
        <v>409</v>
      </c>
      <c r="C46" s="155" t="s">
        <v>877</v>
      </c>
      <c r="D46" s="156" t="s">
        <v>52</v>
      </c>
      <c r="E46" s="178">
        <v>9.5</v>
      </c>
      <c r="F46" s="157">
        <f>TRUNC('MEMÓRIA DESONERADA'!F194,2)</f>
        <v>63.31</v>
      </c>
      <c r="G46" s="244">
        <f t="shared" si="3"/>
        <v>81.55</v>
      </c>
      <c r="H46" s="244">
        <f t="shared" si="4"/>
        <v>601.44</v>
      </c>
      <c r="I46" s="244">
        <f t="shared" si="5"/>
        <v>774.72</v>
      </c>
      <c r="J46" s="149"/>
      <c r="K46" s="149"/>
    </row>
    <row r="47" spans="1:11" s="150" customFormat="1" ht="36">
      <c r="A47" s="153" t="s">
        <v>408</v>
      </c>
      <c r="B47" s="154" t="s">
        <v>669</v>
      </c>
      <c r="C47" s="155" t="s">
        <v>878</v>
      </c>
      <c r="D47" s="156" t="s">
        <v>44</v>
      </c>
      <c r="E47" s="178">
        <v>0.244</v>
      </c>
      <c r="F47" s="157">
        <f>TRUNC('MEMÓRIA DESONERADA'!F202,2)</f>
        <v>95.67</v>
      </c>
      <c r="G47" s="244">
        <f t="shared" si="3"/>
        <v>123.24</v>
      </c>
      <c r="H47" s="244">
        <f t="shared" si="4"/>
        <v>23.34</v>
      </c>
      <c r="I47" s="244">
        <f t="shared" si="5"/>
        <v>30.07</v>
      </c>
      <c r="J47" s="149"/>
      <c r="K47" s="149"/>
    </row>
    <row r="48" spans="1:9" ht="18.75">
      <c r="A48" s="29" t="s">
        <v>130</v>
      </c>
      <c r="B48" s="293"/>
      <c r="C48" s="294"/>
      <c r="D48" s="295"/>
      <c r="E48" s="298" t="s">
        <v>116</v>
      </c>
      <c r="F48" s="299"/>
      <c r="G48" s="300"/>
      <c r="H48" s="38">
        <f>H35+H36+H37+H38+H39+H40+H41+H42+H43+H44+H45+H46+H47</f>
        <v>25335.38</v>
      </c>
      <c r="I48" s="38">
        <f>I35+I36+I37+I38+I39+I40+I41+I42+I43+I44+I45+I46+I47</f>
        <v>32634.140000000003</v>
      </c>
    </row>
    <row r="49" spans="1:11" s="152" customFormat="1" ht="18.75">
      <c r="A49" s="273" t="s">
        <v>55</v>
      </c>
      <c r="B49" s="282"/>
      <c r="C49" s="283" t="s">
        <v>309</v>
      </c>
      <c r="D49" s="276"/>
      <c r="E49" s="277"/>
      <c r="F49" s="279"/>
      <c r="G49" s="278"/>
      <c r="H49" s="278"/>
      <c r="I49" s="272"/>
      <c r="J49" s="281"/>
      <c r="K49" s="151"/>
    </row>
    <row r="50" spans="1:11" s="150" customFormat="1" ht="36">
      <c r="A50" s="153" t="s">
        <v>57</v>
      </c>
      <c r="B50" s="154" t="s">
        <v>629</v>
      </c>
      <c r="C50" s="155" t="s">
        <v>675</v>
      </c>
      <c r="D50" s="156" t="s">
        <v>231</v>
      </c>
      <c r="E50" s="178">
        <v>1</v>
      </c>
      <c r="F50" s="157">
        <f>TRUNC('MEMÓRIA DESONERADA'!F210,2)</f>
        <v>2148.88</v>
      </c>
      <c r="G50" s="244">
        <f>TRUNC(F50*1.2882,2)</f>
        <v>2768.18</v>
      </c>
      <c r="H50" s="244">
        <f>TRUNC(F50*E50,2)</f>
        <v>2148.88</v>
      </c>
      <c r="I50" s="244">
        <f>TRUNC(E50*G50,2)</f>
        <v>2768.18</v>
      </c>
      <c r="J50" s="149"/>
      <c r="K50" s="149"/>
    </row>
    <row r="51" spans="1:10" ht="36">
      <c r="A51" s="29" t="s">
        <v>132</v>
      </c>
      <c r="B51" s="113" t="s">
        <v>215</v>
      </c>
      <c r="C51" s="94" t="s">
        <v>879</v>
      </c>
      <c r="D51" s="30" t="s">
        <v>44</v>
      </c>
      <c r="E51" s="171">
        <v>4</v>
      </c>
      <c r="F51" s="115">
        <f>TRUNC('MEMÓRIA DESONERADA'!F211,2)</f>
        <v>336.05</v>
      </c>
      <c r="G51" s="76">
        <f>TRUNC(E51*F51,2)</f>
        <v>1344.2</v>
      </c>
      <c r="H51" s="145"/>
      <c r="I51" s="145"/>
      <c r="J51" s="55"/>
    </row>
    <row r="52" spans="1:10" ht="54">
      <c r="A52" s="29" t="s">
        <v>133</v>
      </c>
      <c r="B52" s="113" t="s">
        <v>891</v>
      </c>
      <c r="C52" s="94" t="s">
        <v>881</v>
      </c>
      <c r="D52" s="30" t="s">
        <v>0</v>
      </c>
      <c r="E52" s="171">
        <v>1</v>
      </c>
      <c r="F52" s="115">
        <f>TRUNC('MEMÓRIA DESONERADA'!F214,2)</f>
        <v>502.96</v>
      </c>
      <c r="G52" s="76">
        <f>TRUNC(E52*F52,2)</f>
        <v>502.96</v>
      </c>
      <c r="H52" s="145"/>
      <c r="I52" s="145"/>
      <c r="J52" s="55"/>
    </row>
    <row r="53" spans="1:11" s="74" customFormat="1" ht="54">
      <c r="A53" s="29" t="s">
        <v>209</v>
      </c>
      <c r="B53" s="113" t="s">
        <v>626</v>
      </c>
      <c r="C53" s="114" t="s">
        <v>625</v>
      </c>
      <c r="D53" s="30" t="s">
        <v>231</v>
      </c>
      <c r="E53" s="171">
        <v>1</v>
      </c>
      <c r="F53" s="115">
        <f>'MEMÓRIA DESONERADA'!F226</f>
        <v>301.72</v>
      </c>
      <c r="G53" s="76">
        <f>TRUNC(E53*F53,2)</f>
        <v>301.72</v>
      </c>
      <c r="H53" s="145"/>
      <c r="I53" s="145"/>
      <c r="J53" s="69"/>
      <c r="K53" s="69"/>
    </row>
    <row r="54" spans="1:11" s="150" customFormat="1" ht="36">
      <c r="A54" s="153" t="s">
        <v>58</v>
      </c>
      <c r="B54" s="154" t="s">
        <v>635</v>
      </c>
      <c r="C54" s="155" t="s">
        <v>636</v>
      </c>
      <c r="D54" s="156" t="s">
        <v>106</v>
      </c>
      <c r="E54" s="178">
        <f>(2.5*1.5)+(2*1)*2</f>
        <v>7.75</v>
      </c>
      <c r="F54" s="157">
        <f>TRUNC('MEMÓRIA DESONERADA'!F232,2)</f>
        <v>663.91</v>
      </c>
      <c r="G54" s="244">
        <f>TRUNC(F54*1.2882,2)</f>
        <v>855.24</v>
      </c>
      <c r="H54" s="244">
        <f>TRUNC(F54*E54,2)</f>
        <v>5145.3</v>
      </c>
      <c r="I54" s="244">
        <f>TRUNC(E54*G54,2)</f>
        <v>6628.11</v>
      </c>
      <c r="J54" s="149"/>
      <c r="K54" s="149"/>
    </row>
    <row r="55" spans="1:11" s="150" customFormat="1" ht="36">
      <c r="A55" s="153" t="s">
        <v>59</v>
      </c>
      <c r="B55" s="154" t="s">
        <v>426</v>
      </c>
      <c r="C55" s="155" t="s">
        <v>674</v>
      </c>
      <c r="D55" s="156" t="s">
        <v>106</v>
      </c>
      <c r="E55" s="178">
        <v>1.35</v>
      </c>
      <c r="F55" s="157">
        <f>TRUNC('MEMÓRIA DESONERADA'!F244,2)</f>
        <v>535.42</v>
      </c>
      <c r="G55" s="244">
        <f>TRUNC(F55*1.2882,2)</f>
        <v>689.72</v>
      </c>
      <c r="H55" s="244">
        <f>TRUNC(F55*E55,2)</f>
        <v>722.81</v>
      </c>
      <c r="I55" s="244">
        <f>TRUNC(E55*G55,2)</f>
        <v>931.12</v>
      </c>
      <c r="J55" s="149"/>
      <c r="K55" s="149"/>
    </row>
    <row r="56" spans="1:11" s="150" customFormat="1" ht="54">
      <c r="A56" s="153" t="s">
        <v>86</v>
      </c>
      <c r="B56" s="154" t="s">
        <v>644</v>
      </c>
      <c r="C56" s="155" t="s">
        <v>819</v>
      </c>
      <c r="D56" s="156" t="s">
        <v>231</v>
      </c>
      <c r="E56" s="178">
        <v>1</v>
      </c>
      <c r="F56" s="157">
        <f>TRUNC('MEMÓRIA DESONERADA'!F253,2)</f>
        <v>496.57</v>
      </c>
      <c r="G56" s="244">
        <f>TRUNC(F56*1.2882,2)</f>
        <v>639.68</v>
      </c>
      <c r="H56" s="244">
        <f>TRUNC(F56*E56,2)</f>
        <v>496.57</v>
      </c>
      <c r="I56" s="244">
        <f>TRUNC(E56*G56,2)</f>
        <v>639.68</v>
      </c>
      <c r="J56" s="149"/>
      <c r="K56" s="149"/>
    </row>
    <row r="57" spans="1:11" s="72" customFormat="1" ht="54">
      <c r="A57" s="33" t="s">
        <v>132</v>
      </c>
      <c r="B57" s="64" t="s">
        <v>416</v>
      </c>
      <c r="C57" s="104" t="s">
        <v>990</v>
      </c>
      <c r="D57" s="22" t="s">
        <v>0</v>
      </c>
      <c r="E57" s="167">
        <v>1</v>
      </c>
      <c r="F57" s="61">
        <f>TRUNC('MEMÓRIA DESONERADA'!F254,2)</f>
        <v>203.83</v>
      </c>
      <c r="G57" s="239">
        <f>TRUNC(E57*F57,2)</f>
        <v>203.83</v>
      </c>
      <c r="H57" s="128"/>
      <c r="I57" s="128"/>
      <c r="J57" s="55"/>
      <c r="K57" s="55"/>
    </row>
    <row r="58" spans="1:11" s="72" customFormat="1" ht="36">
      <c r="A58" s="33" t="s">
        <v>133</v>
      </c>
      <c r="B58" s="64" t="s">
        <v>204</v>
      </c>
      <c r="C58" s="104" t="s">
        <v>892</v>
      </c>
      <c r="D58" s="22" t="s">
        <v>52</v>
      </c>
      <c r="E58" s="167">
        <v>5.2</v>
      </c>
      <c r="F58" s="24">
        <f>TRUNC('MEMÓRIA DESONERADA'!F259,2)</f>
        <v>33.98</v>
      </c>
      <c r="G58" s="145">
        <f>TRUNC(E58*F58,2)</f>
        <v>176.69</v>
      </c>
      <c r="H58" s="145"/>
      <c r="I58" s="145"/>
      <c r="J58" s="55"/>
      <c r="K58" s="55"/>
    </row>
    <row r="59" spans="1:9" ht="36">
      <c r="A59" s="33" t="s">
        <v>209</v>
      </c>
      <c r="B59" s="64" t="s">
        <v>207</v>
      </c>
      <c r="C59" s="104" t="s">
        <v>893</v>
      </c>
      <c r="D59" s="22" t="s">
        <v>52</v>
      </c>
      <c r="E59" s="167">
        <v>10.4</v>
      </c>
      <c r="F59" s="24">
        <f>TRUNC('MEMÓRIA DESONERADA'!F266,2)</f>
        <v>6.14</v>
      </c>
      <c r="G59" s="145">
        <f>TRUNC(E59*F59,2)</f>
        <v>63.85</v>
      </c>
      <c r="H59" s="145"/>
      <c r="I59" s="145"/>
    </row>
    <row r="60" spans="1:11" ht="90">
      <c r="A60" s="33" t="s">
        <v>637</v>
      </c>
      <c r="B60" s="64" t="s">
        <v>638</v>
      </c>
      <c r="C60" s="104" t="s">
        <v>639</v>
      </c>
      <c r="D60" s="22" t="s">
        <v>0</v>
      </c>
      <c r="E60" s="167">
        <v>1</v>
      </c>
      <c r="F60" s="24">
        <f>TRUNC('MEMÓRIA DESONERADA'!F272,2)</f>
        <v>52.2</v>
      </c>
      <c r="G60" s="128">
        <f>TRUNC(E60*F60,2)</f>
        <v>52.2</v>
      </c>
      <c r="H60" s="128"/>
      <c r="I60" s="128"/>
      <c r="K60" s="60"/>
    </row>
    <row r="61" spans="1:11" s="150" customFormat="1" ht="54">
      <c r="A61" s="153" t="s">
        <v>87</v>
      </c>
      <c r="B61" s="154" t="s">
        <v>645</v>
      </c>
      <c r="C61" s="155" t="s">
        <v>820</v>
      </c>
      <c r="D61" s="156" t="s">
        <v>231</v>
      </c>
      <c r="E61" s="178">
        <v>1</v>
      </c>
      <c r="F61" s="157">
        <f>'MEMÓRIA DESONERADA'!F276</f>
        <v>256.04</v>
      </c>
      <c r="G61" s="244">
        <f>TRUNC(F61*1.2882,2)</f>
        <v>329.83</v>
      </c>
      <c r="H61" s="244">
        <f>TRUNC(F61*E61,2)</f>
        <v>256.04</v>
      </c>
      <c r="I61" s="244">
        <f>TRUNC(E61*G61,2)</f>
        <v>329.83</v>
      </c>
      <c r="J61" s="149"/>
      <c r="K61" s="149"/>
    </row>
    <row r="62" spans="1:9" ht="54">
      <c r="A62" s="33" t="s">
        <v>132</v>
      </c>
      <c r="B62" s="64" t="s">
        <v>416</v>
      </c>
      <c r="C62" s="101" t="s">
        <v>990</v>
      </c>
      <c r="D62" s="22" t="s">
        <v>0</v>
      </c>
      <c r="E62" s="167">
        <v>1</v>
      </c>
      <c r="F62" s="61">
        <f>TRUNC('MEMÓRIA DESONERADA'!F277,2)</f>
        <v>203.84</v>
      </c>
      <c r="G62" s="239">
        <f>TRUNC(E62*F62,2)</f>
        <v>203.84</v>
      </c>
      <c r="H62" s="128"/>
      <c r="I62" s="128"/>
    </row>
    <row r="63" spans="1:11" ht="90">
      <c r="A63" s="33" t="s">
        <v>637</v>
      </c>
      <c r="B63" s="64" t="s">
        <v>638</v>
      </c>
      <c r="C63" s="104" t="s">
        <v>639</v>
      </c>
      <c r="D63" s="22" t="s">
        <v>0</v>
      </c>
      <c r="E63" s="167">
        <v>1</v>
      </c>
      <c r="F63" s="24">
        <f>TRUNC('MEMÓRIA DESONERADA'!F282,2)</f>
        <v>52.2</v>
      </c>
      <c r="G63" s="128">
        <f>TRUNC(E63*F63,2)</f>
        <v>52.2</v>
      </c>
      <c r="H63" s="128"/>
      <c r="I63" s="128"/>
      <c r="K63" s="60"/>
    </row>
    <row r="64" spans="1:11" s="150" customFormat="1" ht="72">
      <c r="A64" s="153" t="s">
        <v>88</v>
      </c>
      <c r="B64" s="154" t="s">
        <v>657</v>
      </c>
      <c r="C64" s="155" t="s">
        <v>821</v>
      </c>
      <c r="D64" s="156" t="s">
        <v>231</v>
      </c>
      <c r="E64" s="178">
        <v>2</v>
      </c>
      <c r="F64" s="157">
        <f>'MEMÓRIA DESONERADA'!F286</f>
        <v>637.0699999999999</v>
      </c>
      <c r="G64" s="244">
        <f>TRUNC(F64*1.2882,2)</f>
        <v>820.67</v>
      </c>
      <c r="H64" s="244">
        <f>TRUNC(F64*E64,2)</f>
        <v>1274.14</v>
      </c>
      <c r="I64" s="244">
        <f>TRUNC(E64*G64,2)</f>
        <v>1641.34</v>
      </c>
      <c r="J64" s="149"/>
      <c r="K64" s="149"/>
    </row>
    <row r="65" spans="1:9" ht="54">
      <c r="A65" s="117" t="s">
        <v>132</v>
      </c>
      <c r="B65" s="118" t="s">
        <v>202</v>
      </c>
      <c r="C65" s="122" t="s">
        <v>992</v>
      </c>
      <c r="D65" s="120" t="s">
        <v>0</v>
      </c>
      <c r="E65" s="172">
        <v>1</v>
      </c>
      <c r="F65" s="123">
        <f>TRUNC('MEMÓRIA DESONERADA'!F287,2)</f>
        <v>229.17</v>
      </c>
      <c r="G65" s="242">
        <f>TRUNC(E65*F65,2)</f>
        <v>229.17</v>
      </c>
      <c r="H65" s="128"/>
      <c r="I65" s="128"/>
    </row>
    <row r="66" spans="1:13" s="12" customFormat="1" ht="36">
      <c r="A66" s="117" t="s">
        <v>133</v>
      </c>
      <c r="B66" s="118" t="s">
        <v>204</v>
      </c>
      <c r="C66" s="122" t="s">
        <v>892</v>
      </c>
      <c r="D66" s="120" t="s">
        <v>52</v>
      </c>
      <c r="E66" s="172">
        <v>5.4</v>
      </c>
      <c r="F66" s="121">
        <f>TRUNC('MEMÓRIA DESONERADA'!F292,2)</f>
        <v>33.98</v>
      </c>
      <c r="G66" s="243">
        <f>TRUNC(E66*F66,2)</f>
        <v>183.49</v>
      </c>
      <c r="H66" s="145"/>
      <c r="I66" s="145"/>
      <c r="L66" s="60"/>
      <c r="M66" s="60"/>
    </row>
    <row r="67" spans="1:13" s="12" customFormat="1" ht="36">
      <c r="A67" s="117" t="s">
        <v>209</v>
      </c>
      <c r="B67" s="118" t="s">
        <v>207</v>
      </c>
      <c r="C67" s="122" t="s">
        <v>893</v>
      </c>
      <c r="D67" s="120" t="s">
        <v>52</v>
      </c>
      <c r="E67" s="172">
        <v>10.8</v>
      </c>
      <c r="F67" s="121">
        <f>TRUNC('MEMÓRIA DESONERADA'!F299,2)</f>
        <v>6.14</v>
      </c>
      <c r="G67" s="243">
        <f>TRUNC(E67*F67,2)</f>
        <v>66.31</v>
      </c>
      <c r="H67" s="145"/>
      <c r="I67" s="145"/>
      <c r="L67" s="60"/>
      <c r="M67" s="60"/>
    </row>
    <row r="68" spans="1:11" ht="18.75">
      <c r="A68" s="117" t="s">
        <v>597</v>
      </c>
      <c r="B68" s="118" t="s">
        <v>656</v>
      </c>
      <c r="C68" s="119" t="s">
        <v>598</v>
      </c>
      <c r="D68" s="120" t="s">
        <v>155</v>
      </c>
      <c r="E68" s="172">
        <f>0.9*2</f>
        <v>1.8</v>
      </c>
      <c r="F68" s="121" t="e">
        <f>#REF!</f>
        <v>#REF!</v>
      </c>
      <c r="G68" s="243">
        <v>49.54</v>
      </c>
      <c r="H68" s="145"/>
      <c r="I68" s="145"/>
      <c r="K68" s="63"/>
    </row>
    <row r="69" spans="1:11" ht="90">
      <c r="A69" s="117" t="s">
        <v>646</v>
      </c>
      <c r="B69" s="118" t="s">
        <v>647</v>
      </c>
      <c r="C69" s="122" t="s">
        <v>648</v>
      </c>
      <c r="D69" s="120" t="s">
        <v>0</v>
      </c>
      <c r="E69" s="172">
        <v>1</v>
      </c>
      <c r="F69" s="121">
        <f>TRUNC('MEMÓRIA DESONERADA'!F312,2)</f>
        <v>108.56</v>
      </c>
      <c r="G69" s="243">
        <f>TRUNC(E69*F69,2)</f>
        <v>108.56</v>
      </c>
      <c r="H69" s="145"/>
      <c r="I69" s="145"/>
      <c r="J69" s="55"/>
      <c r="K69" s="63"/>
    </row>
    <row r="70" spans="1:11" s="150" customFormat="1" ht="54">
      <c r="A70" s="153" t="s">
        <v>118</v>
      </c>
      <c r="B70" s="154" t="s">
        <v>602</v>
      </c>
      <c r="C70" s="155" t="s">
        <v>834</v>
      </c>
      <c r="D70" s="156" t="s">
        <v>231</v>
      </c>
      <c r="E70" s="178">
        <v>3</v>
      </c>
      <c r="F70" s="157">
        <f>TRUNC('MEMÓRIA DESONERADA'!F316,2)</f>
        <v>503.75</v>
      </c>
      <c r="G70" s="244">
        <f>TRUNC(F70*1.2882,2)</f>
        <v>648.93</v>
      </c>
      <c r="H70" s="244">
        <f>TRUNC(F70*E70,2)</f>
        <v>1511.25</v>
      </c>
      <c r="I70" s="244">
        <f>TRUNC(E70*G70,2)</f>
        <v>1946.79</v>
      </c>
      <c r="J70" s="149"/>
      <c r="K70" s="149"/>
    </row>
    <row r="71" spans="1:11" s="72" customFormat="1" ht="54">
      <c r="A71" s="33" t="s">
        <v>132</v>
      </c>
      <c r="B71" s="64" t="s">
        <v>599</v>
      </c>
      <c r="C71" s="104" t="s">
        <v>993</v>
      </c>
      <c r="D71" s="22" t="s">
        <v>0</v>
      </c>
      <c r="E71" s="167">
        <v>1</v>
      </c>
      <c r="F71" s="61">
        <f>TRUNC('MEMÓRIA DESONERADA'!F317,2)</f>
        <v>206.38</v>
      </c>
      <c r="G71" s="239">
        <f>TRUNC(E71*F71,2)</f>
        <v>206.38</v>
      </c>
      <c r="H71" s="128"/>
      <c r="I71" s="128"/>
      <c r="J71" s="55"/>
      <c r="K71" s="55"/>
    </row>
    <row r="72" spans="1:11" s="72" customFormat="1" ht="36">
      <c r="A72" s="33" t="s">
        <v>133</v>
      </c>
      <c r="B72" s="64" t="s">
        <v>204</v>
      </c>
      <c r="C72" s="104" t="s">
        <v>892</v>
      </c>
      <c r="D72" s="22" t="s">
        <v>52</v>
      </c>
      <c r="E72" s="167">
        <v>5.3</v>
      </c>
      <c r="F72" s="24">
        <f>TRUNC('MEMÓRIA DESONERADA'!F322,2)</f>
        <v>33.98</v>
      </c>
      <c r="G72" s="145">
        <f>TRUNC(E72*F72,2)</f>
        <v>180.09</v>
      </c>
      <c r="H72" s="145"/>
      <c r="I72" s="145"/>
      <c r="J72" s="55"/>
      <c r="K72" s="55"/>
    </row>
    <row r="73" spans="1:9" ht="36">
      <c r="A73" s="33" t="s">
        <v>209</v>
      </c>
      <c r="B73" s="64" t="s">
        <v>207</v>
      </c>
      <c r="C73" s="104" t="s">
        <v>893</v>
      </c>
      <c r="D73" s="22" t="s">
        <v>52</v>
      </c>
      <c r="E73" s="167">
        <v>10.6</v>
      </c>
      <c r="F73" s="24">
        <f>TRUNC('MEMÓRIA DESONERADA'!F329,2)</f>
        <v>6.14</v>
      </c>
      <c r="G73" s="145">
        <f>TRUNC(E73*F73,2)</f>
        <v>65.08</v>
      </c>
      <c r="H73" s="145"/>
      <c r="I73" s="145"/>
    </row>
    <row r="74" spans="1:11" ht="90">
      <c r="A74" s="33" t="s">
        <v>637</v>
      </c>
      <c r="B74" s="64" t="s">
        <v>638</v>
      </c>
      <c r="C74" s="104" t="s">
        <v>639</v>
      </c>
      <c r="D74" s="22" t="s">
        <v>0</v>
      </c>
      <c r="E74" s="167">
        <v>1</v>
      </c>
      <c r="F74" s="24">
        <f>TRUNC('MEMÓRIA DESONERADA'!F335,2)</f>
        <v>52.2</v>
      </c>
      <c r="G74" s="128">
        <f>TRUNC(E74*F74,2)</f>
        <v>52.2</v>
      </c>
      <c r="H74" s="128"/>
      <c r="I74" s="128"/>
      <c r="K74" s="60"/>
    </row>
    <row r="75" spans="1:11" s="150" customFormat="1" ht="72">
      <c r="A75" s="153" t="s">
        <v>414</v>
      </c>
      <c r="B75" s="154" t="s">
        <v>658</v>
      </c>
      <c r="C75" s="155" t="s">
        <v>897</v>
      </c>
      <c r="D75" s="156" t="s">
        <v>44</v>
      </c>
      <c r="E75" s="178">
        <v>1</v>
      </c>
      <c r="F75" s="157">
        <f>TRUNC('MEMÓRIA DESONERADA'!F339,2)</f>
        <v>293.42</v>
      </c>
      <c r="G75" s="244">
        <f>TRUNC(F75*1.2882,2)</f>
        <v>377.98</v>
      </c>
      <c r="H75" s="244">
        <f>TRUNC(F75*E75,2)</f>
        <v>293.42</v>
      </c>
      <c r="I75" s="244">
        <f>TRUNC(E75*G75,2)</f>
        <v>377.98</v>
      </c>
      <c r="J75" s="149"/>
      <c r="K75" s="149"/>
    </row>
    <row r="76" spans="1:11" s="150" customFormat="1" ht="90">
      <c r="A76" s="153" t="s">
        <v>415</v>
      </c>
      <c r="B76" s="154" t="s">
        <v>638</v>
      </c>
      <c r="C76" s="155" t="s">
        <v>822</v>
      </c>
      <c r="D76" s="156" t="s">
        <v>231</v>
      </c>
      <c r="E76" s="178">
        <v>2</v>
      </c>
      <c r="F76" s="157">
        <f>TRUNC('MEMÓRIA DESONERADA'!F346,2)</f>
        <v>52.2</v>
      </c>
      <c r="G76" s="244">
        <f>TRUNC(F76*1.2882,2)</f>
        <v>67.24</v>
      </c>
      <c r="H76" s="244">
        <f>TRUNC(F76*E76,2)</f>
        <v>104.4</v>
      </c>
      <c r="I76" s="244">
        <f>TRUNC(E76*G76,2)</f>
        <v>134.48</v>
      </c>
      <c r="J76" s="149"/>
      <c r="K76" s="149"/>
    </row>
    <row r="77" spans="1:11" ht="90">
      <c r="A77" s="33" t="s">
        <v>637</v>
      </c>
      <c r="B77" s="64" t="s">
        <v>638</v>
      </c>
      <c r="C77" s="104" t="s">
        <v>639</v>
      </c>
      <c r="D77" s="22" t="s">
        <v>0</v>
      </c>
      <c r="E77" s="167">
        <v>1</v>
      </c>
      <c r="F77" s="24">
        <f>TRUNC('MEMÓRIA DESONERADA'!F347,2)</f>
        <v>52.2</v>
      </c>
      <c r="G77" s="239">
        <f>TRUNC(E77*F77,2)</f>
        <v>52.2</v>
      </c>
      <c r="H77" s="128"/>
      <c r="I77" s="128"/>
      <c r="K77" s="60"/>
    </row>
    <row r="78" spans="1:9" ht="18.75">
      <c r="A78" s="29" t="s">
        <v>130</v>
      </c>
      <c r="B78" s="293"/>
      <c r="C78" s="294"/>
      <c r="D78" s="295"/>
      <c r="E78" s="298" t="s">
        <v>60</v>
      </c>
      <c r="F78" s="299"/>
      <c r="G78" s="300"/>
      <c r="H78" s="38">
        <f>H50+H54+H55+H56+H61+H64+H70+H75+H76</f>
        <v>11952.81</v>
      </c>
      <c r="I78" s="38">
        <f>I50+I54+I55+I56+I61+I64+I70+I75+I76</f>
        <v>15397.509999999998</v>
      </c>
    </row>
    <row r="79" spans="1:11" s="152" customFormat="1" ht="18.75">
      <c r="A79" s="273" t="s">
        <v>80</v>
      </c>
      <c r="B79" s="282"/>
      <c r="C79" s="283" t="s">
        <v>823</v>
      </c>
      <c r="D79" s="276"/>
      <c r="E79" s="277"/>
      <c r="F79" s="279"/>
      <c r="G79" s="278"/>
      <c r="H79" s="278"/>
      <c r="I79" s="272"/>
      <c r="J79" s="281"/>
      <c r="K79" s="151"/>
    </row>
    <row r="80" spans="1:11" s="150" customFormat="1" ht="36">
      <c r="A80" s="153" t="s">
        <v>81</v>
      </c>
      <c r="B80" s="154" t="s">
        <v>690</v>
      </c>
      <c r="C80" s="155" t="s">
        <v>691</v>
      </c>
      <c r="D80" s="156" t="s">
        <v>0</v>
      </c>
      <c r="E80" s="178">
        <v>1</v>
      </c>
      <c r="F80" s="157">
        <f>TRUNC('MEMÓRIA DESONERADA'!F353,2)</f>
        <v>2311.41</v>
      </c>
      <c r="G80" s="244">
        <f aca="true" t="shared" si="6" ref="G80:G99">TRUNC(F80*1.2882,2)</f>
        <v>2977.55</v>
      </c>
      <c r="H80" s="244">
        <f aca="true" t="shared" si="7" ref="H80:H99">TRUNC(F80*E80,2)</f>
        <v>2311.41</v>
      </c>
      <c r="I80" s="244">
        <f aca="true" t="shared" si="8" ref="I80:I99">TRUNC(E80*G80,2)</f>
        <v>2977.55</v>
      </c>
      <c r="J80" s="149"/>
      <c r="K80" s="149"/>
    </row>
    <row r="81" spans="1:11" s="190" customFormat="1" ht="36">
      <c r="A81" s="198" t="s">
        <v>82</v>
      </c>
      <c r="B81" s="199" t="s">
        <v>901</v>
      </c>
      <c r="C81" s="200" t="s">
        <v>696</v>
      </c>
      <c r="D81" s="147" t="s">
        <v>0</v>
      </c>
      <c r="E81" s="201">
        <v>1</v>
      </c>
      <c r="F81" s="202">
        <f>TRUNC('MEMÓRIA DESONERADA'!F370,2)</f>
        <v>996.39</v>
      </c>
      <c r="G81" s="244">
        <f t="shared" si="6"/>
        <v>1283.54</v>
      </c>
      <c r="H81" s="244">
        <f t="shared" si="7"/>
        <v>996.39</v>
      </c>
      <c r="I81" s="244">
        <f t="shared" si="8"/>
        <v>1283.54</v>
      </c>
      <c r="J81" s="203"/>
      <c r="K81" s="189"/>
    </row>
    <row r="82" spans="1:11" s="190" customFormat="1" ht="36">
      <c r="A82" s="198" t="s">
        <v>99</v>
      </c>
      <c r="B82" s="199" t="s">
        <v>902</v>
      </c>
      <c r="C82" s="200" t="s">
        <v>692</v>
      </c>
      <c r="D82" s="147" t="s">
        <v>0</v>
      </c>
      <c r="E82" s="201">
        <v>1</v>
      </c>
      <c r="F82" s="202">
        <f>TRUNC('MEMÓRIA DESONERADA'!F384,2)</f>
        <v>2557.51</v>
      </c>
      <c r="G82" s="244">
        <f t="shared" si="6"/>
        <v>3294.58</v>
      </c>
      <c r="H82" s="244">
        <f t="shared" si="7"/>
        <v>2557.51</v>
      </c>
      <c r="I82" s="244">
        <f t="shared" si="8"/>
        <v>3294.58</v>
      </c>
      <c r="J82" s="203"/>
      <c r="K82" s="189"/>
    </row>
    <row r="83" spans="1:11" s="150" customFormat="1" ht="54">
      <c r="A83" s="204" t="s">
        <v>676</v>
      </c>
      <c r="B83" s="205" t="s">
        <v>727</v>
      </c>
      <c r="C83" s="206" t="s">
        <v>733</v>
      </c>
      <c r="D83" s="207" t="s">
        <v>231</v>
      </c>
      <c r="E83" s="208">
        <v>2</v>
      </c>
      <c r="F83" s="209">
        <f>TRUNC('MEMÓRIA DESONERADA'!F400,2)</f>
        <v>442.54</v>
      </c>
      <c r="G83" s="244">
        <f t="shared" si="6"/>
        <v>570.08</v>
      </c>
      <c r="H83" s="244">
        <f t="shared" si="7"/>
        <v>885.08</v>
      </c>
      <c r="I83" s="244">
        <f t="shared" si="8"/>
        <v>1140.16</v>
      </c>
      <c r="J83" s="210"/>
      <c r="K83" s="149"/>
    </row>
    <row r="84" spans="1:11" s="150" customFormat="1" ht="90">
      <c r="A84" s="204" t="s">
        <v>677</v>
      </c>
      <c r="B84" s="205" t="s">
        <v>721</v>
      </c>
      <c r="C84" s="206" t="s">
        <v>722</v>
      </c>
      <c r="D84" s="207" t="s">
        <v>0</v>
      </c>
      <c r="E84" s="208">
        <v>2</v>
      </c>
      <c r="F84" s="209">
        <f>TRUNC('MEMÓRIA DESONERADA'!F408,2)</f>
        <v>688.12</v>
      </c>
      <c r="G84" s="244">
        <f t="shared" si="6"/>
        <v>886.43</v>
      </c>
      <c r="H84" s="244">
        <f t="shared" si="7"/>
        <v>1376.24</v>
      </c>
      <c r="I84" s="244">
        <f t="shared" si="8"/>
        <v>1772.86</v>
      </c>
      <c r="J84" s="210"/>
      <c r="K84" s="149"/>
    </row>
    <row r="85" spans="1:11" s="150" customFormat="1" ht="36">
      <c r="A85" s="204" t="s">
        <v>678</v>
      </c>
      <c r="B85" s="205" t="s">
        <v>726</v>
      </c>
      <c r="C85" s="206" t="s">
        <v>725</v>
      </c>
      <c r="D85" s="207" t="s">
        <v>0</v>
      </c>
      <c r="E85" s="208">
        <v>3</v>
      </c>
      <c r="F85" s="209">
        <f>TRUNC('MEMÓRIA DESONERADA'!F430,2)</f>
        <v>161.65</v>
      </c>
      <c r="G85" s="244">
        <f t="shared" si="6"/>
        <v>208.23</v>
      </c>
      <c r="H85" s="244">
        <f t="shared" si="7"/>
        <v>484.95</v>
      </c>
      <c r="I85" s="244">
        <f t="shared" si="8"/>
        <v>624.69</v>
      </c>
      <c r="J85" s="210"/>
      <c r="K85" s="149"/>
    </row>
    <row r="86" spans="1:11" s="150" customFormat="1" ht="54">
      <c r="A86" s="211" t="s">
        <v>679</v>
      </c>
      <c r="B86" s="216" t="s">
        <v>441</v>
      </c>
      <c r="C86" s="213" t="s">
        <v>442</v>
      </c>
      <c r="D86" s="156" t="s">
        <v>0</v>
      </c>
      <c r="E86" s="214">
        <v>2</v>
      </c>
      <c r="F86" s="157">
        <f>TRUNC('MEMÓRIA DESONERADA'!F445,2)</f>
        <v>120.63</v>
      </c>
      <c r="G86" s="244">
        <f t="shared" si="6"/>
        <v>155.39</v>
      </c>
      <c r="H86" s="244">
        <f t="shared" si="7"/>
        <v>241.26</v>
      </c>
      <c r="I86" s="244">
        <f t="shared" si="8"/>
        <v>310.78</v>
      </c>
      <c r="J86" s="210"/>
      <c r="K86" s="149"/>
    </row>
    <row r="87" spans="1:11" s="150" customFormat="1" ht="72">
      <c r="A87" s="211" t="s">
        <v>680</v>
      </c>
      <c r="B87" s="216" t="s">
        <v>445</v>
      </c>
      <c r="C87" s="213" t="s">
        <v>446</v>
      </c>
      <c r="D87" s="156" t="s">
        <v>0</v>
      </c>
      <c r="E87" s="214">
        <v>6</v>
      </c>
      <c r="F87" s="157">
        <f>TRUNC('MEMÓRIA DESONERADA'!F451,2)</f>
        <v>89.18</v>
      </c>
      <c r="G87" s="244">
        <f t="shared" si="6"/>
        <v>114.88</v>
      </c>
      <c r="H87" s="244">
        <f t="shared" si="7"/>
        <v>535.08</v>
      </c>
      <c r="I87" s="244">
        <f t="shared" si="8"/>
        <v>689.28</v>
      </c>
      <c r="J87" s="210"/>
      <c r="K87" s="149"/>
    </row>
    <row r="88" spans="1:11" s="150" customFormat="1" ht="54">
      <c r="A88" s="211" t="s">
        <v>681</v>
      </c>
      <c r="B88" s="216" t="s">
        <v>219</v>
      </c>
      <c r="C88" s="213" t="s">
        <v>289</v>
      </c>
      <c r="D88" s="156" t="s">
        <v>0</v>
      </c>
      <c r="E88" s="214">
        <v>6</v>
      </c>
      <c r="F88" s="157">
        <f>TRUNC('MEMÓRIA DESONERADA'!F456,2)</f>
        <v>124.39</v>
      </c>
      <c r="G88" s="244">
        <f t="shared" si="6"/>
        <v>160.23</v>
      </c>
      <c r="H88" s="244">
        <f t="shared" si="7"/>
        <v>746.34</v>
      </c>
      <c r="I88" s="244">
        <f t="shared" si="8"/>
        <v>961.38</v>
      </c>
      <c r="J88" s="210"/>
      <c r="K88" s="149"/>
    </row>
    <row r="89" spans="1:11" s="150" customFormat="1" ht="36">
      <c r="A89" s="211" t="s">
        <v>682</v>
      </c>
      <c r="B89" s="216" t="s">
        <v>995</v>
      </c>
      <c r="C89" s="213" t="s">
        <v>451</v>
      </c>
      <c r="D89" s="156" t="s">
        <v>44</v>
      </c>
      <c r="E89" s="214">
        <v>1.8</v>
      </c>
      <c r="F89" s="157">
        <f>TRUNC('MEMÓRIA DESONERADA'!F461,2)</f>
        <v>367.09</v>
      </c>
      <c r="G89" s="244">
        <f t="shared" si="6"/>
        <v>472.88</v>
      </c>
      <c r="H89" s="244">
        <f t="shared" si="7"/>
        <v>660.76</v>
      </c>
      <c r="I89" s="244">
        <f t="shared" si="8"/>
        <v>851.18</v>
      </c>
      <c r="J89" s="210"/>
      <c r="K89" s="149"/>
    </row>
    <row r="90" spans="1:11" s="215" customFormat="1" ht="36">
      <c r="A90" s="211" t="s">
        <v>136</v>
      </c>
      <c r="B90" s="212" t="s">
        <v>458</v>
      </c>
      <c r="C90" s="213" t="s">
        <v>905</v>
      </c>
      <c r="D90" s="156" t="s">
        <v>0</v>
      </c>
      <c r="E90" s="214">
        <v>8</v>
      </c>
      <c r="F90" s="157">
        <f>TRUNC('MEMÓRIA DESONERADA'!F469,2)</f>
        <v>21.94</v>
      </c>
      <c r="G90" s="244">
        <f t="shared" si="6"/>
        <v>28.26</v>
      </c>
      <c r="H90" s="244">
        <f t="shared" si="7"/>
        <v>175.52</v>
      </c>
      <c r="I90" s="244">
        <f t="shared" si="8"/>
        <v>226.08</v>
      </c>
      <c r="J90" s="210"/>
      <c r="K90" s="149"/>
    </row>
    <row r="91" spans="1:11" s="215" customFormat="1" ht="36">
      <c r="A91" s="211" t="s">
        <v>137</v>
      </c>
      <c r="B91" s="212" t="s">
        <v>464</v>
      </c>
      <c r="C91" s="213" t="s">
        <v>465</v>
      </c>
      <c r="D91" s="156" t="s">
        <v>0</v>
      </c>
      <c r="E91" s="214">
        <v>3</v>
      </c>
      <c r="F91" s="157">
        <f>TRUNC('MEMÓRIA DESONERADA'!F473,2)</f>
        <v>92.3</v>
      </c>
      <c r="G91" s="244">
        <f t="shared" si="6"/>
        <v>118.9</v>
      </c>
      <c r="H91" s="244">
        <f t="shared" si="7"/>
        <v>276.9</v>
      </c>
      <c r="I91" s="244">
        <f t="shared" si="8"/>
        <v>356.7</v>
      </c>
      <c r="J91" s="210"/>
      <c r="K91" s="149"/>
    </row>
    <row r="92" spans="1:11" s="150" customFormat="1" ht="36">
      <c r="A92" s="211" t="s">
        <v>683</v>
      </c>
      <c r="B92" s="212" t="s">
        <v>299</v>
      </c>
      <c r="C92" s="213" t="s">
        <v>300</v>
      </c>
      <c r="D92" s="156" t="s">
        <v>0</v>
      </c>
      <c r="E92" s="214">
        <v>4</v>
      </c>
      <c r="F92" s="157">
        <f>TRUNC('MEMÓRIA DESONERADA'!F476,2)</f>
        <v>54.54</v>
      </c>
      <c r="G92" s="244">
        <f t="shared" si="6"/>
        <v>70.25</v>
      </c>
      <c r="H92" s="244">
        <f t="shared" si="7"/>
        <v>218.16</v>
      </c>
      <c r="I92" s="244">
        <f t="shared" si="8"/>
        <v>281</v>
      </c>
      <c r="J92" s="149"/>
      <c r="K92" s="149"/>
    </row>
    <row r="93" spans="1:11" s="150" customFormat="1" ht="36">
      <c r="A93" s="211" t="s">
        <v>432</v>
      </c>
      <c r="B93" s="212" t="s">
        <v>1001</v>
      </c>
      <c r="C93" s="213" t="s">
        <v>462</v>
      </c>
      <c r="D93" s="156" t="s">
        <v>0</v>
      </c>
      <c r="E93" s="214">
        <v>4</v>
      </c>
      <c r="F93" s="157">
        <f>TRUNC('MEMÓRIA DESONERADA'!F479,2)</f>
        <v>35.75</v>
      </c>
      <c r="G93" s="244">
        <f t="shared" si="6"/>
        <v>46.05</v>
      </c>
      <c r="H93" s="244">
        <f t="shared" si="7"/>
        <v>143</v>
      </c>
      <c r="I93" s="244">
        <f t="shared" si="8"/>
        <v>184.2</v>
      </c>
      <c r="J93" s="149"/>
      <c r="K93" s="149"/>
    </row>
    <row r="94" spans="1:11" s="150" customFormat="1" ht="36">
      <c r="A94" s="211" t="s">
        <v>437</v>
      </c>
      <c r="B94" s="212" t="s">
        <v>303</v>
      </c>
      <c r="C94" s="213" t="s">
        <v>906</v>
      </c>
      <c r="D94" s="156" t="s">
        <v>0</v>
      </c>
      <c r="E94" s="214">
        <v>3</v>
      </c>
      <c r="F94" s="157">
        <f>TRUNC('MEMÓRIA DESONERADA'!F485,2)</f>
        <v>27.33</v>
      </c>
      <c r="G94" s="244">
        <f t="shared" si="6"/>
        <v>35.2</v>
      </c>
      <c r="H94" s="244">
        <f t="shared" si="7"/>
        <v>81.99</v>
      </c>
      <c r="I94" s="244">
        <f t="shared" si="8"/>
        <v>105.6</v>
      </c>
      <c r="J94" s="149"/>
      <c r="K94" s="149"/>
    </row>
    <row r="95" spans="1:11" s="150" customFormat="1" ht="108">
      <c r="A95" s="211" t="s">
        <v>438</v>
      </c>
      <c r="B95" s="212" t="s">
        <v>272</v>
      </c>
      <c r="C95" s="217" t="s">
        <v>277</v>
      </c>
      <c r="D95" s="156" t="s">
        <v>0</v>
      </c>
      <c r="E95" s="214">
        <v>2</v>
      </c>
      <c r="F95" s="157">
        <f>TRUNC('MEMÓRIA DESONERADA'!F489,2)</f>
        <v>512.52</v>
      </c>
      <c r="G95" s="244">
        <f t="shared" si="6"/>
        <v>660.22</v>
      </c>
      <c r="H95" s="244">
        <f t="shared" si="7"/>
        <v>1025.04</v>
      </c>
      <c r="I95" s="244">
        <f t="shared" si="8"/>
        <v>1320.44</v>
      </c>
      <c r="J95" s="210"/>
      <c r="K95" s="149"/>
    </row>
    <row r="96" spans="1:11" s="150" customFormat="1" ht="72">
      <c r="A96" s="211" t="s">
        <v>439</v>
      </c>
      <c r="B96" s="216" t="s">
        <v>273</v>
      </c>
      <c r="C96" s="217" t="s">
        <v>1006</v>
      </c>
      <c r="D96" s="156" t="s">
        <v>0</v>
      </c>
      <c r="E96" s="214">
        <v>2</v>
      </c>
      <c r="F96" s="157">
        <f>TRUNC('MEMÓRIA DESONERADA'!F509,2)</f>
        <v>194.09</v>
      </c>
      <c r="G96" s="244">
        <f t="shared" si="6"/>
        <v>250.02</v>
      </c>
      <c r="H96" s="244">
        <f t="shared" si="7"/>
        <v>388.18</v>
      </c>
      <c r="I96" s="244">
        <f t="shared" si="8"/>
        <v>500.04</v>
      </c>
      <c r="J96" s="149"/>
      <c r="K96" s="149"/>
    </row>
    <row r="97" spans="1:11" s="150" customFormat="1" ht="72">
      <c r="A97" s="211" t="s">
        <v>440</v>
      </c>
      <c r="B97" s="222" t="s">
        <v>752</v>
      </c>
      <c r="C97" s="217" t="s">
        <v>753</v>
      </c>
      <c r="D97" s="156" t="s">
        <v>0</v>
      </c>
      <c r="E97" s="214">
        <v>1</v>
      </c>
      <c r="F97" s="157">
        <f>TRUNC('MEMÓRIA DESONERADA'!F515,2)</f>
        <v>647.66</v>
      </c>
      <c r="G97" s="244">
        <f t="shared" si="6"/>
        <v>834.31</v>
      </c>
      <c r="H97" s="244">
        <f t="shared" si="7"/>
        <v>647.66</v>
      </c>
      <c r="I97" s="244">
        <f t="shared" si="8"/>
        <v>834.31</v>
      </c>
      <c r="J97" s="149"/>
      <c r="K97" s="149"/>
    </row>
    <row r="98" spans="1:11" s="190" customFormat="1" ht="36">
      <c r="A98" s="218" t="s">
        <v>450</v>
      </c>
      <c r="B98" s="221" t="s">
        <v>911</v>
      </c>
      <c r="C98" s="219" t="s">
        <v>757</v>
      </c>
      <c r="D98" s="187" t="s">
        <v>52</v>
      </c>
      <c r="E98" s="220">
        <v>1.5</v>
      </c>
      <c r="F98" s="188">
        <f>'MEMÓRIA DESONERADA'!F538</f>
        <v>224.53</v>
      </c>
      <c r="G98" s="244">
        <f t="shared" si="6"/>
        <v>289.23</v>
      </c>
      <c r="H98" s="244">
        <f t="shared" si="7"/>
        <v>336.79</v>
      </c>
      <c r="I98" s="244">
        <f t="shared" si="8"/>
        <v>433.84</v>
      </c>
      <c r="J98" s="189"/>
      <c r="K98" s="189"/>
    </row>
    <row r="99" spans="1:11" s="150" customFormat="1" ht="54">
      <c r="A99" s="211" t="s">
        <v>461</v>
      </c>
      <c r="B99" s="212" t="s">
        <v>222</v>
      </c>
      <c r="C99" s="217" t="s">
        <v>223</v>
      </c>
      <c r="D99" s="156" t="s">
        <v>52</v>
      </c>
      <c r="E99" s="214">
        <v>10</v>
      </c>
      <c r="F99" s="157">
        <f>TRUNC('MEMÓRIA DESONERADA'!F546,2)</f>
        <v>20.97</v>
      </c>
      <c r="G99" s="244">
        <f t="shared" si="6"/>
        <v>27.01</v>
      </c>
      <c r="H99" s="244">
        <f t="shared" si="7"/>
        <v>209.7</v>
      </c>
      <c r="I99" s="244">
        <f t="shared" si="8"/>
        <v>270.1</v>
      </c>
      <c r="J99" s="210"/>
      <c r="K99" s="149"/>
    </row>
    <row r="100" spans="1:12" s="72" customFormat="1" ht="18.75">
      <c r="A100" s="29" t="s">
        <v>130</v>
      </c>
      <c r="B100" s="293"/>
      <c r="C100" s="294"/>
      <c r="D100" s="295"/>
      <c r="E100" s="298" t="s">
        <v>83</v>
      </c>
      <c r="F100" s="299"/>
      <c r="G100" s="300"/>
      <c r="H100" s="38">
        <f>H80+H81+H82+H83+H84+H85+H86+H87+H89+H90+H91+H92+H93+H94+H99+H95+H96+H97+H98+H88</f>
        <v>14297.960000000003</v>
      </c>
      <c r="I100" s="38">
        <f>I80+I81+I82+I83+I84+I85+I86+I87+I89+I90+I91+I92+I93+I94+I99+I95+I96+I97+I98+I88</f>
        <v>18418.31000000001</v>
      </c>
      <c r="J100" s="55"/>
      <c r="K100" s="12"/>
      <c r="L100" s="60"/>
    </row>
    <row r="101" spans="1:11" s="152" customFormat="1" ht="18.75">
      <c r="A101" s="273" t="s">
        <v>89</v>
      </c>
      <c r="B101" s="282"/>
      <c r="C101" s="283" t="s">
        <v>912</v>
      </c>
      <c r="D101" s="276"/>
      <c r="E101" s="277"/>
      <c r="F101" s="279"/>
      <c r="G101" s="278"/>
      <c r="H101" s="278"/>
      <c r="I101" s="272"/>
      <c r="J101" s="281"/>
      <c r="K101" s="151"/>
    </row>
    <row r="102" spans="1:11" s="150" customFormat="1" ht="54">
      <c r="A102" s="211" t="s">
        <v>764</v>
      </c>
      <c r="B102" s="212" t="s">
        <v>238</v>
      </c>
      <c r="C102" s="217" t="s">
        <v>256</v>
      </c>
      <c r="D102" s="156" t="s">
        <v>0</v>
      </c>
      <c r="E102" s="214">
        <v>6</v>
      </c>
      <c r="F102" s="157">
        <f>TRUNC('MEMÓRIA DESONERADA'!F555,2)</f>
        <v>245.66</v>
      </c>
      <c r="G102" s="244">
        <f aca="true" t="shared" si="9" ref="G102:G111">TRUNC(F102*1.2882,2)</f>
        <v>316.45</v>
      </c>
      <c r="H102" s="244">
        <f aca="true" t="shared" si="10" ref="H102:H111">TRUNC(F102*E102,2)</f>
        <v>1473.96</v>
      </c>
      <c r="I102" s="244">
        <f aca="true" t="shared" si="11" ref="I102:I111">TRUNC(E102*G102,2)</f>
        <v>1898.7</v>
      </c>
      <c r="J102" s="210"/>
      <c r="K102" s="149"/>
    </row>
    <row r="103" spans="1:11" s="150" customFormat="1" ht="72">
      <c r="A103" s="211" t="s">
        <v>771</v>
      </c>
      <c r="B103" s="212" t="s">
        <v>762</v>
      </c>
      <c r="C103" s="217" t="s">
        <v>257</v>
      </c>
      <c r="D103" s="156" t="s">
        <v>0</v>
      </c>
      <c r="E103" s="214">
        <v>1</v>
      </c>
      <c r="F103" s="157">
        <f>TRUNC('MEMÓRIA DESONERADA'!F570,2)</f>
        <v>461.46</v>
      </c>
      <c r="G103" s="244">
        <f t="shared" si="9"/>
        <v>594.45</v>
      </c>
      <c r="H103" s="244">
        <f t="shared" si="10"/>
        <v>461.46</v>
      </c>
      <c r="I103" s="244">
        <f t="shared" si="11"/>
        <v>594.45</v>
      </c>
      <c r="J103" s="210"/>
      <c r="K103" s="149"/>
    </row>
    <row r="104" spans="1:11" s="150" customFormat="1" ht="72">
      <c r="A104" s="211" t="s">
        <v>772</v>
      </c>
      <c r="B104" s="212" t="s">
        <v>246</v>
      </c>
      <c r="C104" s="217" t="s">
        <v>258</v>
      </c>
      <c r="D104" s="156" t="s">
        <v>0</v>
      </c>
      <c r="E104" s="214">
        <v>1</v>
      </c>
      <c r="F104" s="157">
        <f>TRUNC('MEMÓRIA DESONERADA'!F585,2)</f>
        <v>638.89</v>
      </c>
      <c r="G104" s="244">
        <f t="shared" si="9"/>
        <v>823.01</v>
      </c>
      <c r="H104" s="244">
        <f t="shared" si="10"/>
        <v>638.89</v>
      </c>
      <c r="I104" s="244">
        <f t="shared" si="11"/>
        <v>823.01</v>
      </c>
      <c r="J104" s="210"/>
      <c r="K104" s="149"/>
    </row>
    <row r="105" spans="1:11" s="150" customFormat="1" ht="72">
      <c r="A105" s="211" t="s">
        <v>773</v>
      </c>
      <c r="B105" s="212" t="s">
        <v>765</v>
      </c>
      <c r="C105" s="217" t="s">
        <v>766</v>
      </c>
      <c r="D105" s="156" t="s">
        <v>0</v>
      </c>
      <c r="E105" s="214">
        <v>1</v>
      </c>
      <c r="F105" s="157">
        <f>TRUNC('MEMÓRIA DESONERADA'!F600,2)</f>
        <v>450.79</v>
      </c>
      <c r="G105" s="244">
        <f t="shared" si="9"/>
        <v>580.7</v>
      </c>
      <c r="H105" s="244">
        <f t="shared" si="10"/>
        <v>450.79</v>
      </c>
      <c r="I105" s="244">
        <f t="shared" si="11"/>
        <v>580.7</v>
      </c>
      <c r="J105" s="210"/>
      <c r="K105" s="149"/>
    </row>
    <row r="106" spans="1:11" s="215" customFormat="1" ht="72">
      <c r="A106" s="211" t="s">
        <v>774</v>
      </c>
      <c r="B106" s="212" t="s">
        <v>247</v>
      </c>
      <c r="C106" s="237" t="s">
        <v>259</v>
      </c>
      <c r="D106" s="156" t="s">
        <v>0</v>
      </c>
      <c r="E106" s="214">
        <v>1</v>
      </c>
      <c r="F106" s="157">
        <f>TRUNC('MEMÓRIA DESONERADA'!F615,2)</f>
        <v>236.81</v>
      </c>
      <c r="G106" s="244">
        <f t="shared" si="9"/>
        <v>305.05</v>
      </c>
      <c r="H106" s="244">
        <f t="shared" si="10"/>
        <v>236.81</v>
      </c>
      <c r="I106" s="244">
        <f t="shared" si="11"/>
        <v>305.05</v>
      </c>
      <c r="J106" s="210"/>
      <c r="K106" s="210"/>
    </row>
    <row r="107" spans="1:11" s="215" customFormat="1" ht="72">
      <c r="A107" s="211" t="s">
        <v>775</v>
      </c>
      <c r="B107" s="212" t="s">
        <v>248</v>
      </c>
      <c r="C107" s="237" t="s">
        <v>260</v>
      </c>
      <c r="D107" s="156" t="s">
        <v>0</v>
      </c>
      <c r="E107" s="214">
        <v>1</v>
      </c>
      <c r="F107" s="157">
        <f>TRUNC('MEMÓRIA DESONERADA'!F629,2)</f>
        <v>315.75</v>
      </c>
      <c r="G107" s="244">
        <f t="shared" si="9"/>
        <v>406.74</v>
      </c>
      <c r="H107" s="244">
        <f t="shared" si="10"/>
        <v>315.75</v>
      </c>
      <c r="I107" s="244">
        <f t="shared" si="11"/>
        <v>406.74</v>
      </c>
      <c r="J107" s="210"/>
      <c r="K107" s="210"/>
    </row>
    <row r="108" spans="1:11" s="215" customFormat="1" ht="72">
      <c r="A108" s="211" t="s">
        <v>776</v>
      </c>
      <c r="B108" s="212" t="s">
        <v>249</v>
      </c>
      <c r="C108" s="237" t="s">
        <v>261</v>
      </c>
      <c r="D108" s="156" t="s">
        <v>0</v>
      </c>
      <c r="E108" s="214">
        <v>1</v>
      </c>
      <c r="F108" s="157">
        <f>TRUNC('MEMÓRIA DESONERADA'!F643,2)</f>
        <v>407.27</v>
      </c>
      <c r="G108" s="244">
        <f t="shared" si="9"/>
        <v>524.64</v>
      </c>
      <c r="H108" s="244">
        <f t="shared" si="10"/>
        <v>407.27</v>
      </c>
      <c r="I108" s="244">
        <f t="shared" si="11"/>
        <v>524.64</v>
      </c>
      <c r="J108" s="210"/>
      <c r="K108" s="210"/>
    </row>
    <row r="109" spans="1:11" s="215" customFormat="1" ht="54">
      <c r="A109" s="211" t="s">
        <v>777</v>
      </c>
      <c r="B109" s="212" t="s">
        <v>250</v>
      </c>
      <c r="C109" s="237" t="s">
        <v>314</v>
      </c>
      <c r="D109" s="156" t="s">
        <v>0</v>
      </c>
      <c r="E109" s="214">
        <v>3</v>
      </c>
      <c r="F109" s="157">
        <f>TRUNC('MEMÓRIA DESONERADA'!F657,2)</f>
        <v>491.09</v>
      </c>
      <c r="G109" s="244">
        <f t="shared" si="9"/>
        <v>632.62</v>
      </c>
      <c r="H109" s="244">
        <f t="shared" si="10"/>
        <v>1473.27</v>
      </c>
      <c r="I109" s="244">
        <f t="shared" si="11"/>
        <v>1897.86</v>
      </c>
      <c r="J109" s="210"/>
      <c r="K109" s="210"/>
    </row>
    <row r="110" spans="1:11" s="234" customFormat="1" ht="54">
      <c r="A110" s="218" t="s">
        <v>778</v>
      </c>
      <c r="B110" s="269" t="s">
        <v>927</v>
      </c>
      <c r="C110" s="270" t="s">
        <v>826</v>
      </c>
      <c r="D110" s="187" t="s">
        <v>0</v>
      </c>
      <c r="E110" s="220">
        <v>11</v>
      </c>
      <c r="F110" s="188">
        <f>TRUNC('MEMÓRIA DESONERADA'!F671,2)</f>
        <v>133.72</v>
      </c>
      <c r="G110" s="244">
        <f t="shared" si="9"/>
        <v>172.25</v>
      </c>
      <c r="H110" s="244">
        <f t="shared" si="10"/>
        <v>1470.92</v>
      </c>
      <c r="I110" s="244">
        <f t="shared" si="11"/>
        <v>1894.75</v>
      </c>
      <c r="J110" s="203"/>
      <c r="K110" s="203"/>
    </row>
    <row r="111" spans="1:11" s="234" customFormat="1" ht="54">
      <c r="A111" s="218" t="s">
        <v>779</v>
      </c>
      <c r="B111" s="269" t="s">
        <v>934</v>
      </c>
      <c r="C111" s="270" t="s">
        <v>828</v>
      </c>
      <c r="D111" s="187" t="s">
        <v>0</v>
      </c>
      <c r="E111" s="220">
        <v>4</v>
      </c>
      <c r="F111" s="188">
        <f>TRUNC('MEMÓRIA DESONERADA'!F687,2)</f>
        <v>81.15</v>
      </c>
      <c r="G111" s="244">
        <f t="shared" si="9"/>
        <v>104.53</v>
      </c>
      <c r="H111" s="244">
        <f t="shared" si="10"/>
        <v>324.6</v>
      </c>
      <c r="I111" s="244">
        <f t="shared" si="11"/>
        <v>418.12</v>
      </c>
      <c r="J111" s="203"/>
      <c r="K111" s="203"/>
    </row>
    <row r="112" spans="1:10" ht="18.75">
      <c r="A112" s="29" t="s">
        <v>130</v>
      </c>
      <c r="B112" s="293"/>
      <c r="C112" s="294"/>
      <c r="D112" s="295"/>
      <c r="E112" s="298" t="s">
        <v>119</v>
      </c>
      <c r="F112" s="299"/>
      <c r="G112" s="300"/>
      <c r="H112" s="38">
        <f>H102+H103+H104+H105+H106+H107+H108+H109+H110+H111</f>
        <v>7253.72</v>
      </c>
      <c r="I112" s="38">
        <f>I102+I103+I104+I105+I106+I107+I108+I109+I110+I111</f>
        <v>9344.02</v>
      </c>
      <c r="J112" s="55"/>
    </row>
    <row r="113" spans="1:11" s="152" customFormat="1" ht="18.75">
      <c r="A113" s="273" t="s">
        <v>120</v>
      </c>
      <c r="B113" s="282"/>
      <c r="C113" s="283" t="s">
        <v>310</v>
      </c>
      <c r="D113" s="276"/>
      <c r="E113" s="277"/>
      <c r="F113" s="279"/>
      <c r="G113" s="278"/>
      <c r="H113" s="278"/>
      <c r="I113" s="272"/>
      <c r="J113" s="281"/>
      <c r="K113" s="151"/>
    </row>
    <row r="114" spans="1:11" s="234" customFormat="1" ht="54">
      <c r="A114" s="228" t="s">
        <v>121</v>
      </c>
      <c r="B114" s="229" t="s">
        <v>470</v>
      </c>
      <c r="C114" s="230" t="s">
        <v>471</v>
      </c>
      <c r="D114" s="231" t="s">
        <v>468</v>
      </c>
      <c r="E114" s="232">
        <v>20.64</v>
      </c>
      <c r="F114" s="233">
        <f>TRUNC('MEMÓRIA DESONERADA'!F705,2)</f>
        <v>26.61</v>
      </c>
      <c r="G114" s="244">
        <f aca="true" t="shared" si="12" ref="G114:G120">TRUNC(F114*1.2882,2)</f>
        <v>34.27</v>
      </c>
      <c r="H114" s="244">
        <f aca="true" t="shared" si="13" ref="H114:H120">TRUNC(F114*E114,2)</f>
        <v>549.23</v>
      </c>
      <c r="I114" s="244">
        <f aca="true" t="shared" si="14" ref="I114:I120">TRUNC(E114*G114,2)</f>
        <v>707.33</v>
      </c>
      <c r="J114" s="203"/>
      <c r="K114" s="203"/>
    </row>
    <row r="115" spans="1:11" s="234" customFormat="1" ht="54">
      <c r="A115" s="218" t="s">
        <v>122</v>
      </c>
      <c r="B115" s="269" t="s">
        <v>603</v>
      </c>
      <c r="C115" s="270" t="s">
        <v>604</v>
      </c>
      <c r="D115" s="187" t="s">
        <v>468</v>
      </c>
      <c r="E115" s="220">
        <v>20.64</v>
      </c>
      <c r="F115" s="188">
        <f>TRUNC('MEMÓRIA DESONERADA'!F713,2)</f>
        <v>32.09</v>
      </c>
      <c r="G115" s="244">
        <f t="shared" si="12"/>
        <v>41.33</v>
      </c>
      <c r="H115" s="244">
        <f t="shared" si="13"/>
        <v>662.33</v>
      </c>
      <c r="I115" s="244">
        <f t="shared" si="14"/>
        <v>853.05</v>
      </c>
      <c r="J115" s="203"/>
      <c r="K115" s="203"/>
    </row>
    <row r="116" spans="1:11" s="150" customFormat="1" ht="36">
      <c r="A116" s="211" t="s">
        <v>124</v>
      </c>
      <c r="B116" s="235" t="s">
        <v>789</v>
      </c>
      <c r="C116" s="155" t="s">
        <v>788</v>
      </c>
      <c r="D116" s="156" t="s">
        <v>52</v>
      </c>
      <c r="E116" s="214">
        <v>41.85</v>
      </c>
      <c r="F116" s="157">
        <f>TRUNC('MEMÓRIA DESONERADA'!F722,2)</f>
        <v>44.81</v>
      </c>
      <c r="G116" s="244">
        <f t="shared" si="12"/>
        <v>57.72</v>
      </c>
      <c r="H116" s="244">
        <f t="shared" si="13"/>
        <v>1875.29</v>
      </c>
      <c r="I116" s="244">
        <f t="shared" si="14"/>
        <v>2415.58</v>
      </c>
      <c r="J116" s="149"/>
      <c r="K116" s="149"/>
    </row>
    <row r="117" spans="1:11" s="150" customFormat="1" ht="36">
      <c r="A117" s="211" t="s">
        <v>123</v>
      </c>
      <c r="B117" s="212" t="s">
        <v>797</v>
      </c>
      <c r="C117" s="217" t="s">
        <v>798</v>
      </c>
      <c r="D117" s="156" t="s">
        <v>106</v>
      </c>
      <c r="E117" s="214">
        <v>7.5</v>
      </c>
      <c r="F117" s="157">
        <f>TRUNC('MEMÓRIA DESONERADA'!F734,2)</f>
        <v>43.65</v>
      </c>
      <c r="G117" s="244">
        <f t="shared" si="12"/>
        <v>56.22</v>
      </c>
      <c r="H117" s="244">
        <f t="shared" si="13"/>
        <v>327.37</v>
      </c>
      <c r="I117" s="244">
        <f t="shared" si="14"/>
        <v>421.65</v>
      </c>
      <c r="J117" s="149"/>
      <c r="K117" s="149"/>
    </row>
    <row r="118" spans="1:11" s="150" customFormat="1" ht="36">
      <c r="A118" s="211" t="s">
        <v>125</v>
      </c>
      <c r="B118" s="212" t="s">
        <v>480</v>
      </c>
      <c r="C118" s="217" t="s">
        <v>481</v>
      </c>
      <c r="D118" s="156" t="s">
        <v>52</v>
      </c>
      <c r="E118" s="214">
        <v>13.8</v>
      </c>
      <c r="F118" s="157">
        <f>TRUNC('MEMÓRIA DESONERADA'!F740,2)</f>
        <v>50.94</v>
      </c>
      <c r="G118" s="244">
        <f t="shared" si="12"/>
        <v>65.62</v>
      </c>
      <c r="H118" s="244">
        <f t="shared" si="13"/>
        <v>702.97</v>
      </c>
      <c r="I118" s="244">
        <f t="shared" si="14"/>
        <v>905.55</v>
      </c>
      <c r="J118" s="149"/>
      <c r="K118" s="149"/>
    </row>
    <row r="119" spans="1:11" s="150" customFormat="1" ht="36">
      <c r="A119" s="211" t="s">
        <v>174</v>
      </c>
      <c r="B119" s="235" t="s">
        <v>494</v>
      </c>
      <c r="C119" s="217" t="s">
        <v>495</v>
      </c>
      <c r="D119" s="156" t="s">
        <v>52</v>
      </c>
      <c r="E119" s="214">
        <v>11</v>
      </c>
      <c r="F119" s="157">
        <f>TRUNC('MEMÓRIA DESONERADA'!F753,2)</f>
        <v>28.79</v>
      </c>
      <c r="G119" s="244">
        <f t="shared" si="12"/>
        <v>37.08</v>
      </c>
      <c r="H119" s="244">
        <f t="shared" si="13"/>
        <v>316.69</v>
      </c>
      <c r="I119" s="244">
        <f t="shared" si="14"/>
        <v>407.88</v>
      </c>
      <c r="J119" s="149"/>
      <c r="K119" s="149"/>
    </row>
    <row r="120" spans="1:11" s="150" customFormat="1" ht="54">
      <c r="A120" s="211" t="s">
        <v>175</v>
      </c>
      <c r="B120" s="235" t="s">
        <v>613</v>
      </c>
      <c r="C120" s="217" t="s">
        <v>780</v>
      </c>
      <c r="D120" s="156" t="s">
        <v>52</v>
      </c>
      <c r="E120" s="214">
        <v>45.4</v>
      </c>
      <c r="F120" s="157">
        <f>TRUNC('MEMÓRIA DESONERADA'!F765,2)</f>
        <v>35.8</v>
      </c>
      <c r="G120" s="244">
        <f t="shared" si="12"/>
        <v>46.11</v>
      </c>
      <c r="H120" s="244">
        <f t="shared" si="13"/>
        <v>1625.32</v>
      </c>
      <c r="I120" s="244">
        <f t="shared" si="14"/>
        <v>2093.39</v>
      </c>
      <c r="J120" s="149"/>
      <c r="K120" s="149"/>
    </row>
    <row r="121" spans="1:11" ht="18.75">
      <c r="A121" s="29" t="s">
        <v>130</v>
      </c>
      <c r="B121" s="293"/>
      <c r="C121" s="294"/>
      <c r="D121" s="295"/>
      <c r="E121" s="298" t="s">
        <v>91</v>
      </c>
      <c r="F121" s="299"/>
      <c r="G121" s="300"/>
      <c r="H121" s="271">
        <f>H114+H115+H116+H117+H118+H119+H120</f>
        <v>6059.199999999999</v>
      </c>
      <c r="I121" s="38">
        <f>I114+I115+I116+I117+I118+I119+I120</f>
        <v>7804.43</v>
      </c>
      <c r="K121" s="63"/>
    </row>
    <row r="122" spans="1:11" s="152" customFormat="1" ht="18.75">
      <c r="A122" s="273" t="s">
        <v>176</v>
      </c>
      <c r="B122" s="282"/>
      <c r="C122" s="283" t="s">
        <v>79</v>
      </c>
      <c r="D122" s="276"/>
      <c r="E122" s="277"/>
      <c r="F122" s="279"/>
      <c r="G122" s="278"/>
      <c r="H122" s="278"/>
      <c r="I122" s="272"/>
      <c r="J122" s="281"/>
      <c r="K122" s="151"/>
    </row>
    <row r="123" spans="1:11" s="150" customFormat="1" ht="36">
      <c r="A123" s="211" t="s">
        <v>177</v>
      </c>
      <c r="B123" s="212" t="s">
        <v>524</v>
      </c>
      <c r="C123" s="217" t="s">
        <v>508</v>
      </c>
      <c r="D123" s="156" t="s">
        <v>106</v>
      </c>
      <c r="E123" s="214">
        <v>177.78</v>
      </c>
      <c r="F123" s="157">
        <f>TRUNC('MEMÓRIA DESONERADA'!F777,2)</f>
        <v>27.76</v>
      </c>
      <c r="G123" s="244">
        <f>TRUNC(F123*1.2882,2)</f>
        <v>35.76</v>
      </c>
      <c r="H123" s="244">
        <f>TRUNC(F123*E123,2)</f>
        <v>4935.17</v>
      </c>
      <c r="I123" s="244">
        <f>TRUNC(E123*G123,2)</f>
        <v>6357.41</v>
      </c>
      <c r="J123" s="149"/>
      <c r="K123" s="149"/>
    </row>
    <row r="124" spans="1:11" s="150" customFormat="1" ht="36">
      <c r="A124" s="211" t="s">
        <v>178</v>
      </c>
      <c r="B124" s="212" t="s">
        <v>546</v>
      </c>
      <c r="C124" s="217" t="s">
        <v>790</v>
      </c>
      <c r="D124" s="156" t="s">
        <v>106</v>
      </c>
      <c r="E124" s="214">
        <v>47.26</v>
      </c>
      <c r="F124" s="157">
        <f>TRUNC('MEMÓRIA DESONERADA'!F785,2)</f>
        <v>24.09</v>
      </c>
      <c r="G124" s="244">
        <f>TRUNC(F124*1.2882,2)</f>
        <v>31.03</v>
      </c>
      <c r="H124" s="244">
        <f>TRUNC(F124*E124,2)</f>
        <v>1138.49</v>
      </c>
      <c r="I124" s="244">
        <f>TRUNC(E124*G124,2)</f>
        <v>1466.47</v>
      </c>
      <c r="J124" s="149"/>
      <c r="K124" s="149"/>
    </row>
    <row r="125" spans="1:9" ht="72">
      <c r="A125" s="31" t="s">
        <v>132</v>
      </c>
      <c r="B125" s="98" t="s">
        <v>543</v>
      </c>
      <c r="C125" s="99" t="s">
        <v>940</v>
      </c>
      <c r="D125" s="18" t="s">
        <v>44</v>
      </c>
      <c r="E125" s="169">
        <v>1</v>
      </c>
      <c r="F125" s="32">
        <f>TRUNC('MEMÓRIA DESONERADA'!F786,2)</f>
        <v>18.03</v>
      </c>
      <c r="G125" s="239">
        <f>TRUNC(E125*F125,2)</f>
        <v>18.03</v>
      </c>
      <c r="H125" s="128"/>
      <c r="I125" s="128"/>
    </row>
    <row r="126" spans="1:9" ht="72">
      <c r="A126" s="33" t="s">
        <v>133</v>
      </c>
      <c r="B126" s="100" t="s">
        <v>547</v>
      </c>
      <c r="C126" s="101" t="s">
        <v>941</v>
      </c>
      <c r="D126" s="22" t="s">
        <v>44</v>
      </c>
      <c r="E126" s="167">
        <v>1</v>
      </c>
      <c r="F126" s="61">
        <f>TRUNC('MEMÓRIA DESONERADA'!F793,2)</f>
        <v>6.06</v>
      </c>
      <c r="G126" s="128">
        <f>TRUNC(E126*F126,2)</f>
        <v>6.06</v>
      </c>
      <c r="H126" s="128"/>
      <c r="I126" s="128"/>
    </row>
    <row r="127" spans="1:11" s="150" customFormat="1" ht="54">
      <c r="A127" s="211" t="s">
        <v>179</v>
      </c>
      <c r="B127" s="212" t="s">
        <v>537</v>
      </c>
      <c r="C127" s="217" t="s">
        <v>509</v>
      </c>
      <c r="D127" s="156" t="s">
        <v>106</v>
      </c>
      <c r="E127" s="214">
        <v>61.91</v>
      </c>
      <c r="F127" s="157">
        <f>TRUNC('MEMÓRIA DESONERADA'!F798,2)</f>
        <v>32.69</v>
      </c>
      <c r="G127" s="244">
        <f aca="true" t="shared" si="15" ref="G127:G132">TRUNC(F127*1.2882,2)</f>
        <v>42.11</v>
      </c>
      <c r="H127" s="244">
        <f aca="true" t="shared" si="16" ref="H127:H132">TRUNC(F127*E127,2)</f>
        <v>2023.83</v>
      </c>
      <c r="I127" s="244">
        <f aca="true" t="shared" si="17" ref="I127:I132">TRUNC(E127*G127,2)</f>
        <v>2607.03</v>
      </c>
      <c r="J127" s="149"/>
      <c r="K127" s="149"/>
    </row>
    <row r="128" spans="1:11" s="150" customFormat="1" ht="36">
      <c r="A128" s="211" t="s">
        <v>180</v>
      </c>
      <c r="B128" s="212" t="s">
        <v>533</v>
      </c>
      <c r="C128" s="217" t="s">
        <v>510</v>
      </c>
      <c r="D128" s="156" t="s">
        <v>106</v>
      </c>
      <c r="E128" s="214">
        <v>199.6</v>
      </c>
      <c r="F128" s="157">
        <f>TRUNC('MEMÓRIA DESONERADA'!F807,2)</f>
        <v>34.22</v>
      </c>
      <c r="G128" s="244">
        <f t="shared" si="15"/>
        <v>44.08</v>
      </c>
      <c r="H128" s="244">
        <f t="shared" si="16"/>
        <v>6830.31</v>
      </c>
      <c r="I128" s="244">
        <f t="shared" si="17"/>
        <v>8798.36</v>
      </c>
      <c r="J128" s="149"/>
      <c r="K128" s="149"/>
    </row>
    <row r="129" spans="1:11" s="150" customFormat="1" ht="36">
      <c r="A129" s="211" t="s">
        <v>181</v>
      </c>
      <c r="B129" s="236" t="s">
        <v>558</v>
      </c>
      <c r="C129" s="237" t="s">
        <v>791</v>
      </c>
      <c r="D129" s="156" t="s">
        <v>106</v>
      </c>
      <c r="E129" s="214">
        <v>44.73</v>
      </c>
      <c r="F129" s="157">
        <f>TRUNC('MEMÓRIA DESONERADA'!F816,2)</f>
        <v>38.66</v>
      </c>
      <c r="G129" s="244">
        <f t="shared" si="15"/>
        <v>49.8</v>
      </c>
      <c r="H129" s="244">
        <f t="shared" si="16"/>
        <v>1729.26</v>
      </c>
      <c r="I129" s="244">
        <f t="shared" si="17"/>
        <v>2227.55</v>
      </c>
      <c r="J129" s="149"/>
      <c r="K129" s="149"/>
    </row>
    <row r="130" spans="1:11" s="150" customFormat="1" ht="36">
      <c r="A130" s="211" t="s">
        <v>182</v>
      </c>
      <c r="B130" s="236" t="s">
        <v>559</v>
      </c>
      <c r="C130" s="237" t="s">
        <v>511</v>
      </c>
      <c r="D130" s="156" t="s">
        <v>106</v>
      </c>
      <c r="E130" s="214">
        <v>238.13</v>
      </c>
      <c r="F130" s="157">
        <f>TRUNC('MEMÓRIA DESONERADA'!F830,2)</f>
        <v>13.86</v>
      </c>
      <c r="G130" s="244">
        <f t="shared" si="15"/>
        <v>17.85</v>
      </c>
      <c r="H130" s="244">
        <f t="shared" si="16"/>
        <v>3300.48</v>
      </c>
      <c r="I130" s="244">
        <f t="shared" si="17"/>
        <v>4250.62</v>
      </c>
      <c r="J130" s="149"/>
      <c r="K130" s="149"/>
    </row>
    <row r="131" spans="1:11" s="150" customFormat="1" ht="36">
      <c r="A131" s="211" t="s">
        <v>616</v>
      </c>
      <c r="B131" s="235" t="s">
        <v>617</v>
      </c>
      <c r="C131" s="237" t="s">
        <v>618</v>
      </c>
      <c r="D131" s="156" t="s">
        <v>44</v>
      </c>
      <c r="E131" s="214">
        <v>41.6</v>
      </c>
      <c r="F131" s="157">
        <f>TRUNC('MEMÓRIA DESONERADA'!F838,2)</f>
        <v>103.9</v>
      </c>
      <c r="G131" s="244">
        <f t="shared" si="15"/>
        <v>133.84</v>
      </c>
      <c r="H131" s="244">
        <f t="shared" si="16"/>
        <v>4322.24</v>
      </c>
      <c r="I131" s="244">
        <f t="shared" si="17"/>
        <v>5567.74</v>
      </c>
      <c r="J131" s="149"/>
      <c r="K131" s="149"/>
    </row>
    <row r="132" spans="1:11" s="150" customFormat="1" ht="54">
      <c r="A132" s="211" t="s">
        <v>792</v>
      </c>
      <c r="B132" s="235" t="s">
        <v>793</v>
      </c>
      <c r="C132" s="237" t="s">
        <v>794</v>
      </c>
      <c r="D132" s="156" t="s">
        <v>44</v>
      </c>
      <c r="E132" s="214">
        <v>46.22</v>
      </c>
      <c r="F132" s="157">
        <f>TRUNC('MEMÓRIA DESONERADA'!F845,2)</f>
        <v>14.73</v>
      </c>
      <c r="G132" s="244">
        <f t="shared" si="15"/>
        <v>18.97</v>
      </c>
      <c r="H132" s="244">
        <f t="shared" si="16"/>
        <v>680.82</v>
      </c>
      <c r="I132" s="244">
        <f t="shared" si="17"/>
        <v>876.79</v>
      </c>
      <c r="J132" s="149"/>
      <c r="K132" s="149"/>
    </row>
    <row r="133" spans="1:11" ht="18.75">
      <c r="A133" s="29" t="s">
        <v>130</v>
      </c>
      <c r="B133" s="293"/>
      <c r="C133" s="294"/>
      <c r="D133" s="295"/>
      <c r="E133" s="298" t="s">
        <v>183</v>
      </c>
      <c r="F133" s="299"/>
      <c r="G133" s="300"/>
      <c r="H133" s="38">
        <f>H123+H124+H127+H128+H129+H130+H131+H132</f>
        <v>24960.6</v>
      </c>
      <c r="I133" s="38">
        <f>I123+I124+I127+I128+I129+I130+I131+I132</f>
        <v>32151.97</v>
      </c>
      <c r="K133" s="63"/>
    </row>
    <row r="134" spans="1:11" s="152" customFormat="1" ht="19.5" thickBot="1">
      <c r="A134" s="273" t="s">
        <v>184</v>
      </c>
      <c r="B134" s="274"/>
      <c r="C134" s="275" t="s">
        <v>959</v>
      </c>
      <c r="D134" s="276"/>
      <c r="E134" s="277"/>
      <c r="F134" s="279"/>
      <c r="G134" s="278"/>
      <c r="H134" s="278"/>
      <c r="I134" s="272"/>
      <c r="J134" s="151"/>
      <c r="K134" s="151"/>
    </row>
    <row r="135" spans="1:11" s="150" customFormat="1" ht="54">
      <c r="A135" s="223" t="s">
        <v>185</v>
      </c>
      <c r="B135" s="224" t="s">
        <v>63</v>
      </c>
      <c r="C135" s="238" t="s">
        <v>67</v>
      </c>
      <c r="D135" s="225" t="s">
        <v>45</v>
      </c>
      <c r="E135" s="226">
        <v>53.68</v>
      </c>
      <c r="F135" s="227">
        <f>TRUNC('MEMÓRIA DESONERADA'!F855,2)</f>
        <v>0.98</v>
      </c>
      <c r="G135" s="244">
        <f>TRUNC(F135*1.2882,2)</f>
        <v>1.26</v>
      </c>
      <c r="H135" s="244">
        <f>TRUNC(F135*E135,2)</f>
        <v>52.6</v>
      </c>
      <c r="I135" s="244">
        <f>TRUNC(E135*G135,2)</f>
        <v>67.63</v>
      </c>
      <c r="J135" s="149"/>
      <c r="K135" s="149"/>
    </row>
    <row r="136" spans="1:11" s="150" customFormat="1" ht="54">
      <c r="A136" s="223" t="s">
        <v>186</v>
      </c>
      <c r="B136" s="224" t="s">
        <v>61</v>
      </c>
      <c r="C136" s="238" t="s">
        <v>469</v>
      </c>
      <c r="D136" s="225" t="s">
        <v>49</v>
      </c>
      <c r="E136" s="226">
        <v>912.56</v>
      </c>
      <c r="F136" s="227">
        <f>TRUNC('MEMÓRIA DESONERADA'!F860,2)</f>
        <v>1.05</v>
      </c>
      <c r="G136" s="244">
        <f>TRUNC(F136*1.2882,2)</f>
        <v>1.35</v>
      </c>
      <c r="H136" s="244">
        <f>TRUNC(F136*E136,2)</f>
        <v>958.18</v>
      </c>
      <c r="I136" s="244">
        <f>TRUNC(E136*G136,2)</f>
        <v>1231.95</v>
      </c>
      <c r="J136" s="149"/>
      <c r="K136" s="149"/>
    </row>
    <row r="137" spans="1:11" s="150" customFormat="1" ht="36">
      <c r="A137" s="223" t="s">
        <v>187</v>
      </c>
      <c r="B137" s="224" t="s">
        <v>157</v>
      </c>
      <c r="C137" s="238" t="s">
        <v>68</v>
      </c>
      <c r="D137" s="225" t="s">
        <v>156</v>
      </c>
      <c r="E137" s="226">
        <v>53.68</v>
      </c>
      <c r="F137" s="227">
        <f>TRUNC('MEMÓRIA DESONERADA'!F864,2)</f>
        <v>30</v>
      </c>
      <c r="G137" s="244">
        <f>TRUNC(F137*1.2882,2)</f>
        <v>38.64</v>
      </c>
      <c r="H137" s="244">
        <f>TRUNC(F137*E137,2)</f>
        <v>1610.4</v>
      </c>
      <c r="I137" s="244">
        <f>TRUNC(E137*G137,2)</f>
        <v>2074.19</v>
      </c>
      <c r="J137" s="149"/>
      <c r="K137" s="149"/>
    </row>
    <row r="138" spans="1:11" s="150" customFormat="1" ht="18.75">
      <c r="A138" s="211" t="s">
        <v>188</v>
      </c>
      <c r="B138" s="235" t="s">
        <v>515</v>
      </c>
      <c r="C138" s="237" t="s">
        <v>512</v>
      </c>
      <c r="D138" s="156" t="s">
        <v>156</v>
      </c>
      <c r="E138" s="214">
        <v>15</v>
      </c>
      <c r="F138" s="157">
        <f>TRUNC('MEMÓRIA DESONERADA'!F868,2)</f>
        <v>71.12</v>
      </c>
      <c r="G138" s="244">
        <f>TRUNC(F138*1.2882,2)</f>
        <v>91.61</v>
      </c>
      <c r="H138" s="244">
        <f>TRUNC(F138*E138,2)</f>
        <v>1066.8</v>
      </c>
      <c r="I138" s="244">
        <f>TRUNC(E138*G138,2)</f>
        <v>1374.15</v>
      </c>
      <c r="J138" s="149"/>
      <c r="K138" s="149"/>
    </row>
    <row r="139" spans="1:11" s="150" customFormat="1" ht="36">
      <c r="A139" s="211" t="s">
        <v>189</v>
      </c>
      <c r="B139" s="235" t="s">
        <v>520</v>
      </c>
      <c r="C139" s="237" t="s">
        <v>513</v>
      </c>
      <c r="D139" s="156" t="s">
        <v>514</v>
      </c>
      <c r="E139" s="214">
        <v>90</v>
      </c>
      <c r="F139" s="157">
        <f>TRUNC('MEMÓRIA DESONERADA'!F874,2)</f>
        <v>1.03</v>
      </c>
      <c r="G139" s="244">
        <f>TRUNC(F139*1.2882,2)</f>
        <v>1.32</v>
      </c>
      <c r="H139" s="244">
        <f>TRUNC(F139*E139,2)</f>
        <v>92.7</v>
      </c>
      <c r="I139" s="244">
        <f>TRUNC(E139*G139,2)</f>
        <v>118.8</v>
      </c>
      <c r="J139" s="149"/>
      <c r="K139" s="149"/>
    </row>
    <row r="140" spans="1:11" ht="18.75">
      <c r="A140" s="29" t="s">
        <v>130</v>
      </c>
      <c r="B140" s="297"/>
      <c r="C140" s="297"/>
      <c r="D140" s="297"/>
      <c r="E140" s="296" t="s">
        <v>190</v>
      </c>
      <c r="F140" s="296"/>
      <c r="G140" s="296"/>
      <c r="H140" s="38">
        <f>H135+H136+H137+H138+H139</f>
        <v>3780.6800000000003</v>
      </c>
      <c r="I140" s="38">
        <f>I135+I136+I137+I138+I139</f>
        <v>4866.72</v>
      </c>
      <c r="K140" s="63"/>
    </row>
    <row r="141" spans="1:11" s="152" customFormat="1" ht="19.5" thickBot="1">
      <c r="A141" s="273" t="s">
        <v>191</v>
      </c>
      <c r="B141" s="274"/>
      <c r="C141" s="280" t="s">
        <v>521</v>
      </c>
      <c r="D141" s="276"/>
      <c r="E141" s="277"/>
      <c r="F141" s="279"/>
      <c r="G141" s="278"/>
      <c r="H141" s="278"/>
      <c r="I141" s="272"/>
      <c r="J141" s="151"/>
      <c r="K141" s="151"/>
    </row>
    <row r="142" spans="1:11" s="150" customFormat="1" ht="18.75">
      <c r="A142" s="211" t="s">
        <v>193</v>
      </c>
      <c r="B142" s="235" t="s">
        <v>561</v>
      </c>
      <c r="C142" s="237" t="s">
        <v>522</v>
      </c>
      <c r="D142" s="156" t="s">
        <v>135</v>
      </c>
      <c r="E142" s="214">
        <v>2</v>
      </c>
      <c r="F142" s="157">
        <f>TRUNC('MEMÓRIA DESONERADA'!F880,2)</f>
        <v>183.96</v>
      </c>
      <c r="G142" s="244">
        <f aca="true" t="shared" si="18" ref="G142:G151">TRUNC(F142*1.2882,2)</f>
        <v>236.97</v>
      </c>
      <c r="H142" s="244">
        <f aca="true" t="shared" si="19" ref="H142:H151">TRUNC(F142*E142,2)</f>
        <v>367.92</v>
      </c>
      <c r="I142" s="244">
        <f aca="true" t="shared" si="20" ref="I142:I151">TRUNC(E142*G142,2)</f>
        <v>473.94</v>
      </c>
      <c r="J142" s="149"/>
      <c r="K142" s="149"/>
    </row>
    <row r="143" spans="1:11" s="150" customFormat="1" ht="36">
      <c r="A143" s="211" t="s">
        <v>194</v>
      </c>
      <c r="B143" s="235" t="s">
        <v>562</v>
      </c>
      <c r="C143" s="237" t="s">
        <v>350</v>
      </c>
      <c r="D143" s="156" t="s">
        <v>135</v>
      </c>
      <c r="E143" s="214">
        <v>1.24</v>
      </c>
      <c r="F143" s="157">
        <f>TRUNC('MEMÓRIA DESONERADA'!F885,2)</f>
        <v>83.57</v>
      </c>
      <c r="G143" s="244">
        <f t="shared" si="18"/>
        <v>107.65</v>
      </c>
      <c r="H143" s="244">
        <f t="shared" si="19"/>
        <v>103.62</v>
      </c>
      <c r="I143" s="244">
        <f t="shared" si="20"/>
        <v>133.48</v>
      </c>
      <c r="J143" s="149"/>
      <c r="K143" s="149"/>
    </row>
    <row r="144" spans="1:11" s="150" customFormat="1" ht="72">
      <c r="A144" s="211" t="s">
        <v>195</v>
      </c>
      <c r="B144" s="235" t="s">
        <v>563</v>
      </c>
      <c r="C144" s="237" t="s">
        <v>829</v>
      </c>
      <c r="D144" s="156" t="s">
        <v>135</v>
      </c>
      <c r="E144" s="214">
        <v>0.1</v>
      </c>
      <c r="F144" s="157">
        <f>TRUNC('MEMÓRIA DESONERADA'!F896,2)</f>
        <v>1580.32</v>
      </c>
      <c r="G144" s="244">
        <f t="shared" si="18"/>
        <v>2035.76</v>
      </c>
      <c r="H144" s="244">
        <f t="shared" si="19"/>
        <v>158.03</v>
      </c>
      <c r="I144" s="244">
        <f t="shared" si="20"/>
        <v>203.57</v>
      </c>
      <c r="J144" s="149"/>
      <c r="K144" s="149"/>
    </row>
    <row r="145" spans="1:11" s="150" customFormat="1" ht="36">
      <c r="A145" s="211" t="s">
        <v>196</v>
      </c>
      <c r="B145" s="235" t="s">
        <v>1022</v>
      </c>
      <c r="C145" s="237" t="s">
        <v>577</v>
      </c>
      <c r="D145" s="156" t="s">
        <v>106</v>
      </c>
      <c r="E145" s="214">
        <v>31.05</v>
      </c>
      <c r="F145" s="157">
        <f>TRUNC('MEMÓRIA DESONERADA'!F914,2)</f>
        <v>73.75</v>
      </c>
      <c r="G145" s="244">
        <f t="shared" si="18"/>
        <v>95</v>
      </c>
      <c r="H145" s="244">
        <f t="shared" si="19"/>
        <v>2289.93</v>
      </c>
      <c r="I145" s="244">
        <f t="shared" si="20"/>
        <v>2949.75</v>
      </c>
      <c r="J145" s="149"/>
      <c r="K145" s="149"/>
    </row>
    <row r="146" spans="1:11" s="150" customFormat="1" ht="36">
      <c r="A146" s="211" t="s">
        <v>197</v>
      </c>
      <c r="B146" s="235" t="s">
        <v>830</v>
      </c>
      <c r="C146" s="237" t="s">
        <v>831</v>
      </c>
      <c r="D146" s="156" t="s">
        <v>106</v>
      </c>
      <c r="E146" s="214">
        <v>32.45</v>
      </c>
      <c r="F146" s="157">
        <f>TRUNC('MEMÓRIA DESONERADA'!F925,2)</f>
        <v>29.23</v>
      </c>
      <c r="G146" s="244">
        <f t="shared" si="18"/>
        <v>37.65</v>
      </c>
      <c r="H146" s="244">
        <f t="shared" si="19"/>
        <v>948.51</v>
      </c>
      <c r="I146" s="244">
        <f t="shared" si="20"/>
        <v>1221.74</v>
      </c>
      <c r="J146" s="149"/>
      <c r="K146" s="149"/>
    </row>
    <row r="147" spans="1:11" s="150" customFormat="1" ht="18.75">
      <c r="A147" s="211" t="s">
        <v>198</v>
      </c>
      <c r="B147" s="235" t="s">
        <v>581</v>
      </c>
      <c r="C147" s="237" t="s">
        <v>523</v>
      </c>
      <c r="D147" s="156" t="s">
        <v>106</v>
      </c>
      <c r="E147" s="214">
        <v>2.25</v>
      </c>
      <c r="F147" s="157">
        <f>TRUNC('MEMÓRIA DESONERADA'!F931,2)</f>
        <v>112.16</v>
      </c>
      <c r="G147" s="244">
        <f t="shared" si="18"/>
        <v>144.48</v>
      </c>
      <c r="H147" s="244">
        <f t="shared" si="19"/>
        <v>252.36</v>
      </c>
      <c r="I147" s="244">
        <f t="shared" si="20"/>
        <v>325.08</v>
      </c>
      <c r="J147" s="149"/>
      <c r="K147" s="149"/>
    </row>
    <row r="148" spans="1:11" s="150" customFormat="1" ht="72">
      <c r="A148" s="211" t="s">
        <v>199</v>
      </c>
      <c r="B148" s="235" t="s">
        <v>159</v>
      </c>
      <c r="C148" s="237" t="s">
        <v>317</v>
      </c>
      <c r="D148" s="156" t="s">
        <v>106</v>
      </c>
      <c r="E148" s="214">
        <v>11</v>
      </c>
      <c r="F148" s="258">
        <f>TRUNC('MEMÓRIA DESONERADA'!F941,2)</f>
        <v>35.26</v>
      </c>
      <c r="G148" s="244">
        <f t="shared" si="18"/>
        <v>45.42</v>
      </c>
      <c r="H148" s="244">
        <f t="shared" si="19"/>
        <v>387.86</v>
      </c>
      <c r="I148" s="244">
        <f t="shared" si="20"/>
        <v>499.62</v>
      </c>
      <c r="J148" s="149"/>
      <c r="K148" s="149"/>
    </row>
    <row r="149" spans="1:11" s="150" customFormat="1" ht="36">
      <c r="A149" s="211" t="s">
        <v>200</v>
      </c>
      <c r="B149" s="235" t="s">
        <v>593</v>
      </c>
      <c r="C149" s="237" t="s">
        <v>594</v>
      </c>
      <c r="D149" s="156" t="s">
        <v>106</v>
      </c>
      <c r="E149" s="214">
        <v>27</v>
      </c>
      <c r="F149" s="157">
        <f>TRUNC('MEMÓRIA DESONERADA'!F949,2)</f>
        <v>18.73</v>
      </c>
      <c r="G149" s="244">
        <f t="shared" si="18"/>
        <v>24.12</v>
      </c>
      <c r="H149" s="244">
        <f t="shared" si="19"/>
        <v>505.71</v>
      </c>
      <c r="I149" s="244">
        <f t="shared" si="20"/>
        <v>651.24</v>
      </c>
      <c r="J149" s="149"/>
      <c r="K149" s="149"/>
    </row>
    <row r="150" spans="1:11" s="150" customFormat="1" ht="36">
      <c r="A150" s="211" t="s">
        <v>201</v>
      </c>
      <c r="B150" s="235" t="s">
        <v>837</v>
      </c>
      <c r="C150" s="237" t="s">
        <v>838</v>
      </c>
      <c r="D150" s="156" t="s">
        <v>106</v>
      </c>
      <c r="E150" s="214">
        <v>95</v>
      </c>
      <c r="F150" s="157">
        <f>TRUNC('MEMÓRIA DESONERADA'!F955,2)</f>
        <v>3.77</v>
      </c>
      <c r="G150" s="244">
        <f t="shared" si="18"/>
        <v>4.85</v>
      </c>
      <c r="H150" s="244">
        <f t="shared" si="19"/>
        <v>358.15</v>
      </c>
      <c r="I150" s="244">
        <f t="shared" si="20"/>
        <v>460.75</v>
      </c>
      <c r="J150" s="149"/>
      <c r="K150" s="149"/>
    </row>
    <row r="151" spans="1:11" s="150" customFormat="1" ht="36">
      <c r="A151" s="211" t="s">
        <v>1033</v>
      </c>
      <c r="B151" s="235" t="s">
        <v>835</v>
      </c>
      <c r="C151" s="237" t="s">
        <v>839</v>
      </c>
      <c r="D151" s="156" t="s">
        <v>44</v>
      </c>
      <c r="E151" s="214">
        <v>474.44</v>
      </c>
      <c r="F151" s="157">
        <f>TRUNC('MEMÓRIA DESONERADA'!F961,2)</f>
        <v>4.98</v>
      </c>
      <c r="G151" s="244">
        <f t="shared" si="18"/>
        <v>6.41</v>
      </c>
      <c r="H151" s="244">
        <f t="shared" si="19"/>
        <v>2362.71</v>
      </c>
      <c r="I151" s="244">
        <f t="shared" si="20"/>
        <v>3041.16</v>
      </c>
      <c r="J151" s="149"/>
      <c r="K151" s="149"/>
    </row>
    <row r="152" spans="1:9" ht="18.75">
      <c r="A152" s="29" t="s">
        <v>130</v>
      </c>
      <c r="B152" s="297"/>
      <c r="C152" s="297"/>
      <c r="D152" s="297"/>
      <c r="E152" s="296" t="s">
        <v>192</v>
      </c>
      <c r="F152" s="296"/>
      <c r="G152" s="296"/>
      <c r="H152" s="38">
        <f>H142+H143+H144+H145+H146+H147+H148+H149+H150+H151</f>
        <v>7734.799999999999</v>
      </c>
      <c r="I152" s="38">
        <f>I142+I143+I144+I145+I146+I147+I148+I149+I150+I151</f>
        <v>9960.329999999998</v>
      </c>
    </row>
    <row r="153" spans="1:11" ht="18.75">
      <c r="A153" s="93" t="s">
        <v>130</v>
      </c>
      <c r="B153" s="293"/>
      <c r="C153" s="294"/>
      <c r="D153" s="295"/>
      <c r="E153" s="298" t="s">
        <v>32</v>
      </c>
      <c r="F153" s="299"/>
      <c r="G153" s="300"/>
      <c r="H153" s="71">
        <f>H30+H33+H48+H78+H100+H112+H121+H133+H140+H152</f>
        <v>113387.71</v>
      </c>
      <c r="I153" s="71">
        <f>I30+I33+I48+I78+I100+I112+I121+I133+I140+I152</f>
        <v>146048.2</v>
      </c>
      <c r="K153" s="63"/>
    </row>
  </sheetData>
  <sheetProtection/>
  <mergeCells count="34">
    <mergeCell ref="D3:G3"/>
    <mergeCell ref="D4:G4"/>
    <mergeCell ref="D5:G5"/>
    <mergeCell ref="D6:G6"/>
    <mergeCell ref="D7:G7"/>
    <mergeCell ref="D8:G8"/>
    <mergeCell ref="A9:G9"/>
    <mergeCell ref="A10:A11"/>
    <mergeCell ref="B10:B11"/>
    <mergeCell ref="C10:C11"/>
    <mergeCell ref="D10:D11"/>
    <mergeCell ref="E10:E11"/>
    <mergeCell ref="F10:I10"/>
    <mergeCell ref="E30:G30"/>
    <mergeCell ref="B33:D33"/>
    <mergeCell ref="E33:G33"/>
    <mergeCell ref="B48:D48"/>
    <mergeCell ref="E48:G48"/>
    <mergeCell ref="B78:D78"/>
    <mergeCell ref="E78:G78"/>
    <mergeCell ref="B100:D100"/>
    <mergeCell ref="E100:G100"/>
    <mergeCell ref="B112:D112"/>
    <mergeCell ref="E112:G112"/>
    <mergeCell ref="B121:D121"/>
    <mergeCell ref="E121:G121"/>
    <mergeCell ref="B153:D153"/>
    <mergeCell ref="E153:G153"/>
    <mergeCell ref="B133:D133"/>
    <mergeCell ref="E133:G133"/>
    <mergeCell ref="B140:D140"/>
    <mergeCell ref="E140:G140"/>
    <mergeCell ref="B152:D152"/>
    <mergeCell ref="E152:G152"/>
  </mergeCells>
  <printOptions horizontalCentered="1"/>
  <pageMargins left="0.23622047244094488" right="0.23622047244094488" top="0.7480314960629921" bottom="0.7480314960629921" header="0.31496062992125984" footer="0.31496062992125984"/>
  <pageSetup fitToHeight="1000" horizontalDpi="600" verticalDpi="600" orientation="landscape" paperSize="9" scale="45" r:id="rId2"/>
  <headerFooter>
    <oddFooter>&amp;C&amp;A&amp;RPágina &amp;P de &amp;N</oddFooter>
  </headerFooter>
  <drawing r:id="rId1"/>
</worksheet>
</file>

<file path=xl/worksheets/sheet3.xml><?xml version="1.0" encoding="utf-8"?>
<worksheet xmlns="http://schemas.openxmlformats.org/spreadsheetml/2006/main" xmlns:r="http://schemas.openxmlformats.org/officeDocument/2006/relationships">
  <sheetPr codeName="Plan5">
    <pageSetUpPr fitToPage="1"/>
  </sheetPr>
  <dimension ref="A1:N28"/>
  <sheetViews>
    <sheetView showZeros="0" view="pageBreakPreview" zoomScale="50" zoomScaleNormal="70" zoomScaleSheetLayoutView="50" zoomScalePageLayoutView="0" workbookViewId="0" topLeftCell="A1">
      <selection activeCell="L20" sqref="L20"/>
    </sheetView>
  </sheetViews>
  <sheetFormatPr defaultColWidth="8.8515625" defaultRowHeight="15"/>
  <cols>
    <col min="1" max="1" width="15.28125" style="3" customWidth="1"/>
    <col min="2" max="2" width="51.7109375" style="3" customWidth="1"/>
    <col min="3" max="3" width="12.7109375" style="3" bestFit="1" customWidth="1"/>
    <col min="4" max="4" width="20.140625" style="3" bestFit="1" customWidth="1"/>
    <col min="5" max="5" width="12.7109375" style="3" bestFit="1" customWidth="1"/>
    <col min="6" max="6" width="20.140625" style="3" bestFit="1" customWidth="1"/>
    <col min="7" max="7" width="12.7109375" style="3" bestFit="1" customWidth="1"/>
    <col min="8" max="8" width="22.421875" style="3" bestFit="1" customWidth="1"/>
    <col min="9" max="9" width="12.7109375" style="3" bestFit="1" customWidth="1"/>
    <col min="10" max="10" width="22.421875" style="3" bestFit="1" customWidth="1"/>
    <col min="11" max="11" width="28.421875" style="3" customWidth="1"/>
    <col min="12" max="12" width="17.8515625" style="1" bestFit="1" customWidth="1"/>
    <col min="13" max="13" width="13.7109375" style="1" customWidth="1"/>
    <col min="14" max="16384" width="8.8515625" style="1" customWidth="1"/>
  </cols>
  <sheetData>
    <row r="1" spans="1:12" ht="23.25" customHeight="1">
      <c r="A1" s="338" t="s">
        <v>35</v>
      </c>
      <c r="B1" s="339"/>
      <c r="C1" s="339"/>
      <c r="D1" s="339"/>
      <c r="E1" s="339"/>
      <c r="F1" s="339"/>
      <c r="G1" s="339"/>
      <c r="H1" s="339"/>
      <c r="I1" s="339"/>
      <c r="J1" s="339"/>
      <c r="K1" s="44"/>
      <c r="L1" s="43"/>
    </row>
    <row r="2" spans="1:12" ht="23.25" customHeight="1">
      <c r="A2" s="340" t="s">
        <v>36</v>
      </c>
      <c r="B2" s="341"/>
      <c r="C2" s="341"/>
      <c r="D2" s="341"/>
      <c r="E2" s="341"/>
      <c r="F2" s="341"/>
      <c r="G2" s="341"/>
      <c r="H2" s="341"/>
      <c r="I2" s="341"/>
      <c r="J2" s="341"/>
      <c r="K2" s="45"/>
      <c r="L2" s="43"/>
    </row>
    <row r="3" spans="1:12" ht="23.25" customHeight="1">
      <c r="A3" s="340" t="s">
        <v>312</v>
      </c>
      <c r="B3" s="341"/>
      <c r="C3" s="341"/>
      <c r="D3" s="341"/>
      <c r="E3" s="341"/>
      <c r="F3" s="341"/>
      <c r="G3" s="341"/>
      <c r="H3" s="341"/>
      <c r="I3" s="341"/>
      <c r="J3" s="341"/>
      <c r="K3" s="45"/>
      <c r="L3" s="43"/>
    </row>
    <row r="4" spans="1:12" ht="23.25" customHeight="1">
      <c r="A4" s="348" t="s">
        <v>323</v>
      </c>
      <c r="B4" s="349"/>
      <c r="C4" s="349"/>
      <c r="D4" s="349"/>
      <c r="E4" s="349"/>
      <c r="F4" s="349"/>
      <c r="G4" s="349"/>
      <c r="H4" s="349"/>
      <c r="I4" s="349"/>
      <c r="J4" s="349"/>
      <c r="K4" s="45"/>
      <c r="L4" s="43"/>
    </row>
    <row r="5" spans="1:12" ht="20.25">
      <c r="A5" s="342" t="s">
        <v>842</v>
      </c>
      <c r="B5" s="343"/>
      <c r="C5" s="343"/>
      <c r="D5" s="343"/>
      <c r="E5" s="343"/>
      <c r="F5" s="343"/>
      <c r="G5" s="343"/>
      <c r="H5" s="343"/>
      <c r="I5" s="343"/>
      <c r="J5" s="343"/>
      <c r="K5" s="45"/>
      <c r="L5" s="43"/>
    </row>
    <row r="6" spans="1:12" ht="23.25" customHeight="1">
      <c r="A6" s="344" t="s">
        <v>38</v>
      </c>
      <c r="B6" s="345"/>
      <c r="C6" s="345"/>
      <c r="D6" s="345"/>
      <c r="E6" s="345"/>
      <c r="F6" s="345"/>
      <c r="G6" s="345"/>
      <c r="H6" s="345"/>
      <c r="I6" s="345"/>
      <c r="J6" s="345"/>
      <c r="K6" s="45"/>
      <c r="L6" s="43"/>
    </row>
    <row r="7" spans="1:12" ht="35.25" customHeight="1">
      <c r="A7" s="326" t="s">
        <v>1035</v>
      </c>
      <c r="B7" s="327"/>
      <c r="C7" s="327"/>
      <c r="D7" s="327"/>
      <c r="E7" s="327"/>
      <c r="F7" s="327"/>
      <c r="G7" s="327"/>
      <c r="H7" s="327"/>
      <c r="I7" s="327"/>
      <c r="J7" s="327"/>
      <c r="K7" s="45"/>
      <c r="L7" s="43"/>
    </row>
    <row r="8" spans="1:12" ht="31.5" customHeight="1">
      <c r="A8" s="346"/>
      <c r="B8" s="347"/>
      <c r="C8" s="347"/>
      <c r="D8" s="347"/>
      <c r="E8" s="347"/>
      <c r="F8" s="347"/>
      <c r="G8" s="347"/>
      <c r="H8" s="347"/>
      <c r="I8" s="347"/>
      <c r="J8" s="347"/>
      <c r="K8" s="46"/>
      <c r="L8" s="43"/>
    </row>
    <row r="9" spans="1:12" ht="26.25" customHeight="1">
      <c r="A9" s="330" t="s">
        <v>71</v>
      </c>
      <c r="B9" s="331"/>
      <c r="C9" s="331"/>
      <c r="D9" s="331"/>
      <c r="E9" s="331"/>
      <c r="F9" s="331"/>
      <c r="G9" s="331"/>
      <c r="H9" s="331"/>
      <c r="I9" s="331"/>
      <c r="J9" s="331"/>
      <c r="K9" s="332"/>
      <c r="L9" s="43"/>
    </row>
    <row r="10" spans="1:14" s="83" customFormat="1" ht="27" customHeight="1">
      <c r="A10" s="334" t="s">
        <v>1</v>
      </c>
      <c r="B10" s="334" t="s">
        <v>8</v>
      </c>
      <c r="C10" s="328" t="s">
        <v>9</v>
      </c>
      <c r="D10" s="333"/>
      <c r="E10" s="333"/>
      <c r="F10" s="333"/>
      <c r="G10" s="333"/>
      <c r="H10" s="333"/>
      <c r="I10" s="333"/>
      <c r="J10" s="333"/>
      <c r="K10" s="47"/>
      <c r="L10" s="81"/>
      <c r="M10" s="82"/>
      <c r="N10" s="82"/>
    </row>
    <row r="11" spans="1:14" s="83" customFormat="1" ht="27" customHeight="1">
      <c r="A11" s="335"/>
      <c r="B11" s="335"/>
      <c r="C11" s="328" t="s">
        <v>10</v>
      </c>
      <c r="D11" s="329"/>
      <c r="E11" s="328" t="s">
        <v>11</v>
      </c>
      <c r="F11" s="329"/>
      <c r="G11" s="328" t="s">
        <v>92</v>
      </c>
      <c r="H11" s="329"/>
      <c r="I11" s="328" t="s">
        <v>93</v>
      </c>
      <c r="J11" s="329"/>
      <c r="K11" s="47" t="s">
        <v>12</v>
      </c>
      <c r="L11" s="81"/>
      <c r="M11" s="82"/>
      <c r="N11" s="82"/>
    </row>
    <row r="12" spans="1:12" s="83" customFormat="1" ht="27" customHeight="1">
      <c r="A12" s="336"/>
      <c r="B12" s="336"/>
      <c r="C12" s="48" t="s">
        <v>13</v>
      </c>
      <c r="D12" s="49" t="s">
        <v>14</v>
      </c>
      <c r="E12" s="48" t="s">
        <v>13</v>
      </c>
      <c r="F12" s="49" t="s">
        <v>14</v>
      </c>
      <c r="G12" s="48" t="s">
        <v>13</v>
      </c>
      <c r="H12" s="49" t="s">
        <v>14</v>
      </c>
      <c r="I12" s="48" t="s">
        <v>13</v>
      </c>
      <c r="J12" s="49" t="s">
        <v>14</v>
      </c>
      <c r="K12" s="47" t="s">
        <v>15</v>
      </c>
      <c r="L12" s="81"/>
    </row>
    <row r="13" spans="1:12" ht="27" customHeight="1">
      <c r="A13" s="337"/>
      <c r="B13" s="337"/>
      <c r="C13" s="50"/>
      <c r="D13" s="50"/>
      <c r="E13" s="50"/>
      <c r="F13" s="50"/>
      <c r="G13" s="50"/>
      <c r="H13" s="50"/>
      <c r="I13" s="50"/>
      <c r="J13" s="50"/>
      <c r="K13" s="51"/>
      <c r="L13" s="43"/>
    </row>
    <row r="14" spans="1:13" ht="27" customHeight="1">
      <c r="A14" s="4" t="s">
        <v>16</v>
      </c>
      <c r="B14" s="5" t="s">
        <v>50</v>
      </c>
      <c r="C14" s="6">
        <v>0.9</v>
      </c>
      <c r="D14" s="7">
        <f>C14*K14</f>
        <v>12833.892</v>
      </c>
      <c r="E14" s="56">
        <v>0.1</v>
      </c>
      <c r="F14" s="7">
        <f aca="true" t="shared" si="0" ref="F14:F23">E14*K14</f>
        <v>1425.988</v>
      </c>
      <c r="G14" s="57"/>
      <c r="H14" s="58">
        <f>G14*K14</f>
        <v>0</v>
      </c>
      <c r="I14" s="59"/>
      <c r="J14" s="58">
        <f>I14*K14</f>
        <v>0</v>
      </c>
      <c r="K14" s="8">
        <v>14259.88</v>
      </c>
      <c r="L14" s="42">
        <f>D14+F14+H14+J14</f>
        <v>14259.88</v>
      </c>
      <c r="M14" s="2">
        <f aca="true" t="shared" si="1" ref="M14:M23">K14-L14</f>
        <v>0</v>
      </c>
    </row>
    <row r="15" spans="1:13" ht="27" customHeight="1">
      <c r="A15" s="4" t="s">
        <v>26</v>
      </c>
      <c r="B15" s="5" t="s">
        <v>840</v>
      </c>
      <c r="C15" s="59"/>
      <c r="D15" s="58"/>
      <c r="E15" s="56">
        <v>1</v>
      </c>
      <c r="F15" s="7">
        <f t="shared" si="0"/>
        <v>1210.89</v>
      </c>
      <c r="G15" s="57"/>
      <c r="H15" s="58"/>
      <c r="I15" s="59"/>
      <c r="J15" s="58"/>
      <c r="K15" s="8">
        <v>1210.89</v>
      </c>
      <c r="L15" s="42">
        <f aca="true" t="shared" si="2" ref="L15:L23">D15+F15+H15+J15</f>
        <v>1210.89</v>
      </c>
      <c r="M15" s="2">
        <f t="shared" si="1"/>
        <v>0</v>
      </c>
    </row>
    <row r="16" spans="1:13" ht="27" customHeight="1">
      <c r="A16" s="4" t="s">
        <v>51</v>
      </c>
      <c r="B16" s="5" t="s">
        <v>360</v>
      </c>
      <c r="C16" s="59"/>
      <c r="D16" s="58"/>
      <c r="E16" s="56">
        <v>0.3</v>
      </c>
      <c r="F16" s="7">
        <f t="shared" si="0"/>
        <v>9790.242</v>
      </c>
      <c r="G16" s="56">
        <v>0.5</v>
      </c>
      <c r="H16" s="7">
        <f aca="true" t="shared" si="3" ref="H16:H23">G16*K16</f>
        <v>16317.070000000002</v>
      </c>
      <c r="I16" s="6">
        <v>0.2</v>
      </c>
      <c r="J16" s="7">
        <f aca="true" t="shared" si="4" ref="J16:J23">I16*K16</f>
        <v>6526.828000000001</v>
      </c>
      <c r="K16" s="8">
        <v>32634.140000000003</v>
      </c>
      <c r="L16" s="42">
        <f t="shared" si="2"/>
        <v>32634.140000000003</v>
      </c>
      <c r="M16" s="2">
        <f t="shared" si="1"/>
        <v>0</v>
      </c>
    </row>
    <row r="17" spans="1:13" ht="27" customHeight="1">
      <c r="A17" s="4" t="s">
        <v>55</v>
      </c>
      <c r="B17" s="5" t="s">
        <v>309</v>
      </c>
      <c r="C17" s="59"/>
      <c r="D17" s="58"/>
      <c r="E17" s="56">
        <v>0.1</v>
      </c>
      <c r="F17" s="7">
        <f t="shared" si="0"/>
        <v>1539.751</v>
      </c>
      <c r="G17" s="56">
        <v>0.3</v>
      </c>
      <c r="H17" s="7">
        <f t="shared" si="3"/>
        <v>4619.253</v>
      </c>
      <c r="I17" s="6">
        <v>0.6</v>
      </c>
      <c r="J17" s="7">
        <f t="shared" si="4"/>
        <v>9238.506</v>
      </c>
      <c r="K17" s="8">
        <v>15397.509999999998</v>
      </c>
      <c r="L17" s="42">
        <f t="shared" si="2"/>
        <v>15397.509999999998</v>
      </c>
      <c r="M17" s="2">
        <f t="shared" si="1"/>
        <v>0</v>
      </c>
    </row>
    <row r="18" spans="1:13" ht="27" customHeight="1">
      <c r="A18" s="4" t="s">
        <v>80</v>
      </c>
      <c r="B18" s="5" t="s">
        <v>311</v>
      </c>
      <c r="C18" s="65">
        <v>0.2</v>
      </c>
      <c r="D18" s="7">
        <f aca="true" t="shared" si="5" ref="D18:D23">C18*K18</f>
        <v>3683.662000000002</v>
      </c>
      <c r="E18" s="56">
        <v>0.3</v>
      </c>
      <c r="F18" s="66">
        <f t="shared" si="0"/>
        <v>5525.493000000002</v>
      </c>
      <c r="G18" s="56">
        <v>0.3</v>
      </c>
      <c r="H18" s="7">
        <f t="shared" si="3"/>
        <v>5525.493000000002</v>
      </c>
      <c r="I18" s="6">
        <v>0.2</v>
      </c>
      <c r="J18" s="7">
        <f t="shared" si="4"/>
        <v>3683.662000000002</v>
      </c>
      <c r="K18" s="8">
        <v>18418.31000000001</v>
      </c>
      <c r="L18" s="42">
        <f t="shared" si="2"/>
        <v>18418.31000000001</v>
      </c>
      <c r="M18" s="2">
        <f t="shared" si="1"/>
        <v>0</v>
      </c>
    </row>
    <row r="19" spans="1:13" ht="27" customHeight="1">
      <c r="A19" s="4" t="s">
        <v>89</v>
      </c>
      <c r="B19" s="5" t="s">
        <v>78</v>
      </c>
      <c r="C19" s="65">
        <v>0.2</v>
      </c>
      <c r="D19" s="7">
        <f t="shared" si="5"/>
        <v>1868.804</v>
      </c>
      <c r="E19" s="56">
        <v>0.3</v>
      </c>
      <c r="F19" s="66">
        <f t="shared" si="0"/>
        <v>2803.206</v>
      </c>
      <c r="G19" s="56">
        <v>0.3</v>
      </c>
      <c r="H19" s="7">
        <f t="shared" si="3"/>
        <v>2803.206</v>
      </c>
      <c r="I19" s="6">
        <v>0.2</v>
      </c>
      <c r="J19" s="7">
        <f t="shared" si="4"/>
        <v>1868.804</v>
      </c>
      <c r="K19" s="8">
        <v>9344.02</v>
      </c>
      <c r="L19" s="42">
        <f>D19+F19+H19+J19</f>
        <v>9344.02</v>
      </c>
      <c r="M19" s="2">
        <f t="shared" si="1"/>
        <v>0</v>
      </c>
    </row>
    <row r="20" spans="1:13" ht="27" customHeight="1">
      <c r="A20" s="4" t="s">
        <v>120</v>
      </c>
      <c r="B20" s="5" t="s">
        <v>310</v>
      </c>
      <c r="C20" s="65">
        <v>0.1</v>
      </c>
      <c r="D20" s="66">
        <f t="shared" si="5"/>
        <v>780.4430000000001</v>
      </c>
      <c r="E20" s="142">
        <v>0.3</v>
      </c>
      <c r="F20" s="66">
        <f t="shared" si="0"/>
        <v>2341.329</v>
      </c>
      <c r="G20" s="142">
        <v>0.5</v>
      </c>
      <c r="H20" s="66">
        <f t="shared" si="3"/>
        <v>3902.215</v>
      </c>
      <c r="I20" s="65">
        <v>0.1</v>
      </c>
      <c r="J20" s="66">
        <f t="shared" si="4"/>
        <v>780.4430000000001</v>
      </c>
      <c r="K20" s="8">
        <v>7804.43</v>
      </c>
      <c r="L20" s="42">
        <f t="shared" si="2"/>
        <v>7804.430000000001</v>
      </c>
      <c r="M20" s="2">
        <f t="shared" si="1"/>
        <v>0</v>
      </c>
    </row>
    <row r="21" spans="1:13" ht="27" customHeight="1">
      <c r="A21" s="4" t="s">
        <v>176</v>
      </c>
      <c r="B21" s="5" t="s">
        <v>79</v>
      </c>
      <c r="C21" s="65">
        <v>0.1</v>
      </c>
      <c r="D21" s="66">
        <f t="shared" si="5"/>
        <v>3215.197</v>
      </c>
      <c r="E21" s="142">
        <v>0.3</v>
      </c>
      <c r="F21" s="66">
        <f t="shared" si="0"/>
        <v>9645.591</v>
      </c>
      <c r="G21" s="56">
        <v>0.5</v>
      </c>
      <c r="H21" s="66">
        <f t="shared" si="3"/>
        <v>16075.985</v>
      </c>
      <c r="I21" s="6">
        <v>0.1</v>
      </c>
      <c r="J21" s="66">
        <f t="shared" si="4"/>
        <v>3215.197</v>
      </c>
      <c r="K21" s="8">
        <v>32151.97</v>
      </c>
      <c r="L21" s="42">
        <f t="shared" si="2"/>
        <v>32151.97</v>
      </c>
      <c r="M21" s="2">
        <f t="shared" si="1"/>
        <v>0</v>
      </c>
    </row>
    <row r="22" spans="1:13" ht="27" customHeight="1">
      <c r="A22" s="4" t="s">
        <v>184</v>
      </c>
      <c r="B22" s="5" t="s">
        <v>66</v>
      </c>
      <c r="C22" s="65">
        <v>0.3</v>
      </c>
      <c r="D22" s="66">
        <f t="shared" si="5"/>
        <v>1460.016</v>
      </c>
      <c r="E22" s="142">
        <v>0.4</v>
      </c>
      <c r="F22" s="66">
        <f t="shared" si="0"/>
        <v>1946.688</v>
      </c>
      <c r="G22" s="142">
        <v>0.2</v>
      </c>
      <c r="H22" s="66">
        <f t="shared" si="3"/>
        <v>973.344</v>
      </c>
      <c r="I22" s="65">
        <v>0.1</v>
      </c>
      <c r="J22" s="66">
        <f t="shared" si="4"/>
        <v>486.672</v>
      </c>
      <c r="K22" s="8">
        <v>4866.72</v>
      </c>
      <c r="L22" s="42">
        <f t="shared" si="2"/>
        <v>4866.720000000001</v>
      </c>
      <c r="M22" s="2">
        <f t="shared" si="1"/>
        <v>0</v>
      </c>
    </row>
    <row r="23" spans="1:13" ht="27" customHeight="1">
      <c r="A23" s="4" t="s">
        <v>191</v>
      </c>
      <c r="B23" s="5" t="s">
        <v>521</v>
      </c>
      <c r="C23" s="65">
        <v>0.1</v>
      </c>
      <c r="D23" s="66">
        <f t="shared" si="5"/>
        <v>996.0329999999999</v>
      </c>
      <c r="E23" s="142">
        <v>0.3</v>
      </c>
      <c r="F23" s="66">
        <f t="shared" si="0"/>
        <v>2988.0989999999993</v>
      </c>
      <c r="G23" s="142">
        <v>0.4</v>
      </c>
      <c r="H23" s="66">
        <f t="shared" si="3"/>
        <v>3984.1319999999996</v>
      </c>
      <c r="I23" s="65">
        <v>0.2</v>
      </c>
      <c r="J23" s="66">
        <f t="shared" si="4"/>
        <v>1992.0659999999998</v>
      </c>
      <c r="K23" s="8">
        <v>9960.329999999998</v>
      </c>
      <c r="L23" s="42">
        <f t="shared" si="2"/>
        <v>9960.329999999998</v>
      </c>
      <c r="M23" s="2">
        <f t="shared" si="1"/>
        <v>0</v>
      </c>
    </row>
    <row r="24" spans="1:13" ht="27" customHeight="1">
      <c r="A24" s="135"/>
      <c r="B24" s="136"/>
      <c r="C24" s="137"/>
      <c r="D24" s="138"/>
      <c r="E24" s="139"/>
      <c r="F24" s="138"/>
      <c r="G24" s="139"/>
      <c r="H24" s="138"/>
      <c r="I24" s="137"/>
      <c r="J24" s="138"/>
      <c r="K24" s="140">
        <f>SUM(K14:K23)</f>
        <v>146048.2</v>
      </c>
      <c r="L24" s="42"/>
      <c r="M24" s="2"/>
    </row>
    <row r="25" spans="1:12" ht="27" customHeight="1">
      <c r="A25" s="358" t="s">
        <v>17</v>
      </c>
      <c r="B25" s="359"/>
      <c r="C25" s="354">
        <f>SUM(D14:D23)</f>
        <v>24838.047000000002</v>
      </c>
      <c r="D25" s="355"/>
      <c r="E25" s="354">
        <f>SUM(F14:F23)</f>
        <v>39217.27700000001</v>
      </c>
      <c r="F25" s="355"/>
      <c r="G25" s="354">
        <f>SUM(H14:H23)</f>
        <v>54200.698000000004</v>
      </c>
      <c r="H25" s="355"/>
      <c r="I25" s="354">
        <f>SUM(J14:J23)</f>
        <v>27792.178</v>
      </c>
      <c r="J25" s="355"/>
      <c r="K25" s="141">
        <f>SUM(C25:J25)</f>
        <v>146048.2</v>
      </c>
      <c r="L25" s="43"/>
    </row>
    <row r="26" spans="1:12" ht="27" customHeight="1">
      <c r="A26" s="358" t="s">
        <v>18</v>
      </c>
      <c r="B26" s="359"/>
      <c r="C26" s="352">
        <f>C25</f>
        <v>24838.047000000002</v>
      </c>
      <c r="D26" s="353"/>
      <c r="E26" s="352">
        <f>C26+E25</f>
        <v>64055.32400000001</v>
      </c>
      <c r="F26" s="353"/>
      <c r="G26" s="352">
        <f>E26+G25</f>
        <v>118256.02200000001</v>
      </c>
      <c r="H26" s="353"/>
      <c r="I26" s="352">
        <f>G26+I25</f>
        <v>146048.2</v>
      </c>
      <c r="J26" s="353"/>
      <c r="K26" s="52"/>
      <c r="L26" s="43"/>
    </row>
    <row r="27" spans="1:12" ht="27" customHeight="1">
      <c r="A27" s="350" t="s">
        <v>19</v>
      </c>
      <c r="B27" s="351"/>
      <c r="C27" s="356">
        <f>C25/K24</f>
        <v>0.17006746402899864</v>
      </c>
      <c r="D27" s="357"/>
      <c r="E27" s="356">
        <f>E25/K24</f>
        <v>0.2685228369812158</v>
      </c>
      <c r="F27" s="357"/>
      <c r="G27" s="356">
        <f>G25/K24</f>
        <v>0.3711151387007851</v>
      </c>
      <c r="H27" s="357"/>
      <c r="I27" s="356">
        <f>I25/K24</f>
        <v>0.19029456028900046</v>
      </c>
      <c r="J27" s="357"/>
      <c r="K27" s="53"/>
      <c r="L27" s="43"/>
    </row>
    <row r="28" spans="1:12" ht="27" customHeight="1">
      <c r="A28" s="350" t="s">
        <v>20</v>
      </c>
      <c r="B28" s="351"/>
      <c r="C28" s="356">
        <f>C27</f>
        <v>0.17006746402899864</v>
      </c>
      <c r="D28" s="357"/>
      <c r="E28" s="356">
        <f>C28+E27</f>
        <v>0.43859030101021446</v>
      </c>
      <c r="F28" s="357"/>
      <c r="G28" s="356">
        <f>E28+G27</f>
        <v>0.8097054397109995</v>
      </c>
      <c r="H28" s="357"/>
      <c r="I28" s="356">
        <f>G28+I27</f>
        <v>1</v>
      </c>
      <c r="J28" s="357"/>
      <c r="K28" s="54"/>
      <c r="L28" s="43"/>
    </row>
    <row r="29" ht="33" customHeight="1"/>
  </sheetData>
  <sheetProtection/>
  <mergeCells count="37">
    <mergeCell ref="G25:H25"/>
    <mergeCell ref="E26:F26"/>
    <mergeCell ref="G27:H27"/>
    <mergeCell ref="I26:J26"/>
    <mergeCell ref="I25:J25"/>
    <mergeCell ref="G28:H28"/>
    <mergeCell ref="I27:J27"/>
    <mergeCell ref="E28:F28"/>
    <mergeCell ref="I28:J28"/>
    <mergeCell ref="G26:H26"/>
    <mergeCell ref="A27:B27"/>
    <mergeCell ref="C26:D26"/>
    <mergeCell ref="E25:F25"/>
    <mergeCell ref="C25:D25"/>
    <mergeCell ref="A28:B28"/>
    <mergeCell ref="E27:F27"/>
    <mergeCell ref="C27:D27"/>
    <mergeCell ref="C28:D28"/>
    <mergeCell ref="A25:B25"/>
    <mergeCell ref="A26:B26"/>
    <mergeCell ref="A13:B13"/>
    <mergeCell ref="A1:J1"/>
    <mergeCell ref="A2:J2"/>
    <mergeCell ref="A3:J3"/>
    <mergeCell ref="A5:J5"/>
    <mergeCell ref="A6:J6"/>
    <mergeCell ref="C11:D11"/>
    <mergeCell ref="A8:J8"/>
    <mergeCell ref="A4:J4"/>
    <mergeCell ref="B10:B12"/>
    <mergeCell ref="A7:J7"/>
    <mergeCell ref="I11:J11"/>
    <mergeCell ref="A9:K9"/>
    <mergeCell ref="C10:J10"/>
    <mergeCell ref="E11:F11"/>
    <mergeCell ref="G11:H11"/>
    <mergeCell ref="A10:A12"/>
  </mergeCells>
  <printOptions horizontalCentered="1" verticalCentered="1"/>
  <pageMargins left="0.3937007874015748" right="0.3937007874015748" top="0.984251968503937" bottom="0.3937007874015748" header="0" footer="0"/>
  <pageSetup fitToHeight="1000" fitToWidth="1" horizontalDpi="300" verticalDpi="300" orientation="landscape" paperSize="9" scale="61" r:id="rId2"/>
  <headerFooter alignWithMargins="0">
    <oddFooter>&amp;C&amp;A&amp;RPágina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Michelly Gomes</dc:creator>
  <cp:keywords/>
  <dc:description/>
  <cp:lastModifiedBy>Thais da Silva Miranda</cp:lastModifiedBy>
  <cp:lastPrinted>2020-02-19T14:25:09Z</cp:lastPrinted>
  <dcterms:created xsi:type="dcterms:W3CDTF">2013-12-10T14:14:06Z</dcterms:created>
  <dcterms:modified xsi:type="dcterms:W3CDTF">2020-02-20T17:17:35Z</dcterms:modified>
  <cp:category/>
  <cp:version/>
  <cp:contentType/>
  <cp:contentStatus/>
</cp:coreProperties>
</file>